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lockStructure="1"/>
  <bookViews>
    <workbookView xWindow="0" yWindow="0" windowWidth="20490" windowHeight="7530"/>
  </bookViews>
  <sheets>
    <sheet name="試算表" sheetId="1" r:id="rId1"/>
    <sheet name="所得計算" sheetId="2" r:id="rId2"/>
    <sheet name="試算表 (例)" sheetId="7" r:id="rId3"/>
    <sheet name="所得計算 (例)" sheetId="5" r:id="rId4"/>
    <sheet name="税額計算用" sheetId="3" state="hidden" r:id="rId5"/>
  </sheets>
  <definedNames>
    <definedName name="_xlnm.Print_Area" localSheetId="0">試算表!$A$1:$L$35</definedName>
    <definedName name="_xlnm.Print_Area" localSheetId="2">'試算表 (例)'!$A$1:$L$35</definedName>
    <definedName name="_xlnm.Print_Area" localSheetId="1">所得計算!$A$1:$L$39</definedName>
    <definedName name="_xlnm.Print_Area" localSheetId="3">'所得計算 (例)'!$A$1:$L$39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U8" i="3" l="1"/>
  <c r="U9" i="3"/>
  <c r="U10" i="3"/>
  <c r="U11" i="3"/>
  <c r="R37" i="5" l="1"/>
  <c r="N30" i="5"/>
  <c r="N33" i="5" s="1"/>
  <c r="N20" i="5"/>
  <c r="R19" i="5"/>
  <c r="N11" i="5"/>
  <c r="R21" i="5" s="1"/>
  <c r="Q7" i="5"/>
  <c r="Q5" i="5"/>
  <c r="Q3" i="5" l="1"/>
  <c r="N6" i="5" s="1"/>
  <c r="K6" i="5" s="1"/>
  <c r="S32" i="5"/>
  <c r="N36" i="5"/>
  <c r="E31" i="5" s="1"/>
  <c r="R18" i="5"/>
  <c r="R17" i="5"/>
  <c r="S30" i="5"/>
  <c r="S33" i="5"/>
  <c r="R34" i="5"/>
  <c r="R30" i="5"/>
  <c r="R33" i="5"/>
  <c r="S34" i="5"/>
  <c r="R12" i="5"/>
  <c r="R20" i="5"/>
  <c r="S31" i="5"/>
  <c r="R35" i="5"/>
  <c r="R31" i="5"/>
  <c r="N14" i="5"/>
  <c r="N17" i="5" s="1"/>
  <c r="N23" i="5" s="1"/>
  <c r="E20" i="5" s="1"/>
  <c r="R32" i="5"/>
  <c r="S35" i="5"/>
  <c r="R37" i="2" l="1"/>
  <c r="N30" i="2"/>
  <c r="S30" i="2" l="1"/>
  <c r="S34" i="2"/>
  <c r="S33" i="2"/>
  <c r="S35" i="2"/>
  <c r="R32" i="2"/>
  <c r="R30" i="2"/>
  <c r="R33" i="2"/>
  <c r="R34" i="2"/>
  <c r="R35" i="2"/>
  <c r="N33" i="2"/>
  <c r="N36" i="2" s="1"/>
  <c r="E31" i="2" s="1"/>
  <c r="S31" i="2"/>
  <c r="S32" i="2"/>
  <c r="R31" i="2"/>
  <c r="Q7" i="2"/>
  <c r="Q5" i="2"/>
  <c r="Q3" i="2" l="1"/>
  <c r="N6" i="2" s="1"/>
  <c r="K6" i="2" s="1"/>
  <c r="N20" i="2"/>
  <c r="N11" i="2"/>
  <c r="R21" i="2" l="1"/>
  <c r="N14" i="2"/>
  <c r="R12" i="2"/>
  <c r="R20" i="2"/>
  <c r="R18" i="2"/>
  <c r="R17" i="2"/>
  <c r="R19" i="2"/>
  <c r="F5" i="3"/>
  <c r="F6" i="3"/>
  <c r="F7" i="3"/>
  <c r="F8" i="3"/>
  <c r="F9" i="3"/>
  <c r="F10" i="3"/>
  <c r="F11" i="3"/>
  <c r="F4" i="3"/>
  <c r="K5" i="3"/>
  <c r="K6" i="3"/>
  <c r="K7" i="3"/>
  <c r="K8" i="3"/>
  <c r="K9" i="3"/>
  <c r="K10" i="3"/>
  <c r="K11" i="3"/>
  <c r="J5" i="3"/>
  <c r="J6" i="3"/>
  <c r="J7" i="3"/>
  <c r="J8" i="3"/>
  <c r="J9" i="3"/>
  <c r="J10" i="3"/>
  <c r="J11" i="3"/>
  <c r="H5" i="3"/>
  <c r="H6" i="3"/>
  <c r="H7" i="3"/>
  <c r="H8" i="3"/>
  <c r="H9" i="3"/>
  <c r="H10" i="3"/>
  <c r="H11" i="3"/>
  <c r="E5" i="3"/>
  <c r="U5" i="3" s="1"/>
  <c r="E6" i="3"/>
  <c r="E7" i="3"/>
  <c r="U7" i="3" s="1"/>
  <c r="E8" i="3"/>
  <c r="E9" i="3"/>
  <c r="E10" i="3"/>
  <c r="E11" i="3"/>
  <c r="C5" i="3"/>
  <c r="S5" i="3" s="1"/>
  <c r="C6" i="3"/>
  <c r="S6" i="3" s="1"/>
  <c r="C7" i="3"/>
  <c r="S7" i="3" s="1"/>
  <c r="C8" i="3"/>
  <c r="S8" i="3" s="1"/>
  <c r="C9" i="3"/>
  <c r="S9" i="3" s="1"/>
  <c r="C10" i="3"/>
  <c r="S10" i="3" s="1"/>
  <c r="C11" i="3"/>
  <c r="S11" i="3" s="1"/>
  <c r="K4" i="3"/>
  <c r="J4" i="3"/>
  <c r="E4" i="3"/>
  <c r="U4" i="3" s="1"/>
  <c r="C4" i="3"/>
  <c r="Q6" i="3" l="1"/>
  <c r="U6" i="3"/>
  <c r="C22" i="3" s="1"/>
  <c r="Q4" i="3"/>
  <c r="P10" i="3"/>
  <c r="Q10" i="3"/>
  <c r="R10" i="3"/>
  <c r="D31" i="3" s="1"/>
  <c r="P9" i="3"/>
  <c r="D30" i="3" s="1"/>
  <c r="Q9" i="3"/>
  <c r="R9" i="3"/>
  <c r="H30" i="3" s="1"/>
  <c r="P8" i="3"/>
  <c r="D29" i="3" s="1"/>
  <c r="Q8" i="3"/>
  <c r="R8" i="3"/>
  <c r="P11" i="3"/>
  <c r="Q11" i="3"/>
  <c r="R11" i="3"/>
  <c r="S4" i="3"/>
  <c r="T4" i="3"/>
  <c r="V4" i="3" s="1"/>
  <c r="N4" i="3"/>
  <c r="O4" i="3" s="1"/>
  <c r="R4" i="3"/>
  <c r="Q5" i="3"/>
  <c r="N5" i="3"/>
  <c r="O5" i="3" s="1"/>
  <c r="T7" i="3"/>
  <c r="V7" i="3" s="1"/>
  <c r="R7" i="3"/>
  <c r="N7" i="3"/>
  <c r="O7" i="3" s="1"/>
  <c r="Q7" i="3"/>
  <c r="P5" i="3"/>
  <c r="R5" i="3"/>
  <c r="N17" i="2"/>
  <c r="N23" i="2" s="1"/>
  <c r="E20" i="2" s="1"/>
  <c r="P6" i="3"/>
  <c r="R6" i="3"/>
  <c r="C14" i="3"/>
  <c r="T10" i="3"/>
  <c r="T9" i="3"/>
  <c r="T8" i="3"/>
  <c r="T11" i="3"/>
  <c r="T6" i="3"/>
  <c r="T5" i="3"/>
  <c r="D32" i="3"/>
  <c r="N10" i="3"/>
  <c r="O10" i="3" s="1"/>
  <c r="C31" i="3" s="1"/>
  <c r="N11" i="3"/>
  <c r="O11" i="3" s="1"/>
  <c r="C32" i="3" s="1"/>
  <c r="P4" i="3"/>
  <c r="N8" i="3"/>
  <c r="O8" i="3" s="1"/>
  <c r="C29" i="3" s="1"/>
  <c r="P7" i="3"/>
  <c r="N9" i="3"/>
  <c r="O9" i="3" s="1"/>
  <c r="C30" i="3" s="1"/>
  <c r="N6" i="3"/>
  <c r="O6" i="3" s="1"/>
  <c r="E17" i="3" l="1"/>
  <c r="D17" i="3"/>
  <c r="C15" i="3"/>
  <c r="C18" i="3" s="1"/>
  <c r="C25" i="3"/>
  <c r="G25" i="3"/>
  <c r="G30" i="3"/>
  <c r="G31" i="3"/>
  <c r="V9" i="3"/>
  <c r="G29" i="3"/>
  <c r="H29" i="3"/>
  <c r="V8" i="3"/>
  <c r="D27" i="3"/>
  <c r="C26" i="3"/>
  <c r="G28" i="3"/>
  <c r="D28" i="3"/>
  <c r="H28" i="3"/>
  <c r="C28" i="3"/>
  <c r="G27" i="3"/>
  <c r="C27" i="3"/>
  <c r="G26" i="3"/>
  <c r="V10" i="3"/>
  <c r="H31" i="3"/>
  <c r="V11" i="3"/>
  <c r="G32" i="3"/>
  <c r="H32" i="3"/>
  <c r="H25" i="3"/>
  <c r="D25" i="3"/>
  <c r="V5" i="3"/>
  <c r="H26" i="3"/>
  <c r="H27" i="3"/>
  <c r="V6" i="3"/>
  <c r="D26" i="3"/>
  <c r="G22" i="3" l="1"/>
  <c r="E18" i="3"/>
  <c r="C33" i="3"/>
  <c r="D33" i="3"/>
  <c r="G33" i="3"/>
  <c r="H33" i="3"/>
  <c r="D18" i="3"/>
  <c r="C19" i="3" l="1"/>
  <c r="F19" i="3" s="1"/>
  <c r="J25" i="3" l="1"/>
  <c r="F25" i="3"/>
  <c r="I25" i="3"/>
  <c r="E25" i="3"/>
  <c r="I29" i="3"/>
  <c r="E26" i="3"/>
  <c r="E27" i="3"/>
  <c r="E29" i="3"/>
  <c r="E30" i="3"/>
  <c r="E28" i="3"/>
  <c r="E31" i="3"/>
  <c r="E32" i="3"/>
  <c r="I27" i="3"/>
  <c r="I31" i="3"/>
  <c r="I28" i="3"/>
  <c r="I30" i="3"/>
  <c r="I32" i="3"/>
  <c r="I26" i="3"/>
  <c r="I33" i="3" l="1"/>
  <c r="E33" i="3"/>
  <c r="C35" i="3" s="1"/>
  <c r="D35" i="3" s="1"/>
  <c r="C36" i="3" l="1"/>
  <c r="D36" i="3" s="1"/>
  <c r="F33" i="1" s="1"/>
  <c r="C37" i="3" l="1"/>
  <c r="F32" i="1"/>
  <c r="D37" i="3"/>
  <c r="C39" i="3" s="1"/>
  <c r="J29" i="1" l="1"/>
  <c r="C29" i="1"/>
</calcChain>
</file>

<file path=xl/comments1.xml><?xml version="1.0" encoding="utf-8"?>
<comments xmlns="http://schemas.openxmlformats.org/spreadsheetml/2006/main">
  <authors>
    <author>作成者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特に、年度途中で40、65、75歳を迎える方については、本エクセルでは正しく計算できません。</t>
        </r>
      </text>
    </comment>
    <comment ref="F9" authorId="0" shapeId="0">
      <text>
        <r>
          <rPr>
            <sz val="9"/>
            <color indexed="81"/>
            <rFont val="MS P ゴシック"/>
            <family val="3"/>
            <charset val="128"/>
          </rPr>
          <t>4月から翌3月までの加入期間を入力します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  <comment ref="J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倒産・解雇などで失業し、失業給付を受ける方は、
〇を入力します。
</t>
        </r>
      </text>
    </comment>
    <comment ref="K9" authorId="0" shapeId="0">
      <text>
        <r>
          <rPr>
            <sz val="9"/>
            <color indexed="81"/>
            <rFont val="MS P ゴシック"/>
            <family val="3"/>
            <charset val="128"/>
          </rPr>
          <t>該当者は５月上旬に、
ご自宅に通知書が届きます。通知書記載の税額を入力します。
※共有名義の場合要按分</t>
        </r>
      </text>
    </commen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【注意】
世帯主自身が国保に加入しない場合でも、情報の入力が必要です。</t>
        </r>
      </text>
    </comment>
    <comment ref="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【補足】
国保非加入の世帯主が75歳以上の時のみ、
"75歳～"を選択してください。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18" authorId="0" shapeId="0">
      <text>
        <r>
          <rPr>
            <sz val="9"/>
            <color indexed="81"/>
            <rFont val="MS P ゴシック"/>
            <family val="3"/>
            <charset val="128"/>
          </rPr>
          <t>給与収入が850万円以上であり、下記いずれかに該当する方のみ
"〇"を選択してください。
①本人が特別障がい者
②年齢23歳未満の扶養親族がいる
③特別障がい者である同一生計
　配偶者または扶養親族がいる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特に、年度途中で40、65、75歳を迎える方については、本エクセルでは正しく計算できません。</t>
        </r>
      </text>
    </comment>
    <comment ref="F9" authorId="0" shapeId="0">
      <text>
        <r>
          <rPr>
            <sz val="9"/>
            <color indexed="81"/>
            <rFont val="MS P ゴシック"/>
            <family val="3"/>
            <charset val="128"/>
          </rPr>
          <t>4月から翌3月までの加入期間を入力します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  <comment ref="J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倒産・解雇などで失業し、失業給付を受ける方は、
〇を入力します。
</t>
        </r>
      </text>
    </comment>
    <comment ref="K9" authorId="0" shapeId="0">
      <text>
        <r>
          <rPr>
            <sz val="9"/>
            <color indexed="81"/>
            <rFont val="MS P ゴシック"/>
            <family val="3"/>
            <charset val="128"/>
          </rPr>
          <t>該当者は５月上旬に、
ご自宅に通知書が届きます。通知書記載の税額を入力します。
※共有名義の場合要按分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I18" authorId="0" shapeId="0">
      <text>
        <r>
          <rPr>
            <sz val="9"/>
            <color indexed="81"/>
            <rFont val="MS P ゴシック"/>
            <family val="3"/>
            <charset val="128"/>
          </rPr>
          <t>給与収入が850万円以上であり、下記いずれかに該当する方のみ
"〇"を選択してください。
①本人が特別障がい者
②年齢23歳未満の扶養親族がいる
③特別障がい者である同一生計
　配偶者または扶養親族がいる</t>
        </r>
      </text>
    </comment>
  </commentList>
</comments>
</file>

<file path=xl/sharedStrings.xml><?xml version="1.0" encoding="utf-8"?>
<sst xmlns="http://schemas.openxmlformats.org/spreadsheetml/2006/main" count="340" uniqueCount="152">
  <si>
    <t>入力必須</t>
    <rPh sb="0" eb="2">
      <t>ニュウリョク</t>
    </rPh>
    <rPh sb="2" eb="4">
      <t>ヒッス</t>
    </rPh>
    <phoneticPr fontId="1"/>
  </si>
  <si>
    <t>世帯主</t>
    <rPh sb="0" eb="3">
      <t>セタイヌシ</t>
    </rPh>
    <phoneticPr fontId="1"/>
  </si>
  <si>
    <t>世帯員A</t>
    <rPh sb="0" eb="3">
      <t>セタイイン</t>
    </rPh>
    <phoneticPr fontId="1"/>
  </si>
  <si>
    <t>世帯員B</t>
    <rPh sb="0" eb="3">
      <t>セタイイン</t>
    </rPh>
    <phoneticPr fontId="1"/>
  </si>
  <si>
    <t>世帯員C</t>
    <rPh sb="0" eb="3">
      <t>セタイイン</t>
    </rPh>
    <phoneticPr fontId="1"/>
  </si>
  <si>
    <t>世帯員D</t>
    <rPh sb="0" eb="3">
      <t>セタイイン</t>
    </rPh>
    <phoneticPr fontId="1"/>
  </si>
  <si>
    <t>世帯員E</t>
    <rPh sb="0" eb="3">
      <t>セタイイン</t>
    </rPh>
    <phoneticPr fontId="1"/>
  </si>
  <si>
    <t>世帯員F</t>
    <rPh sb="0" eb="3">
      <t>セタイイン</t>
    </rPh>
    <phoneticPr fontId="1"/>
  </si>
  <si>
    <t>世帯員G</t>
    <rPh sb="0" eb="3">
      <t>セタイイン</t>
    </rPh>
    <phoneticPr fontId="1"/>
  </si>
  <si>
    <t>年齢</t>
    <rPh sb="0" eb="2">
      <t>ネンレイ</t>
    </rPh>
    <phoneticPr fontId="1"/>
  </si>
  <si>
    <t>国保
加入</t>
    <rPh sb="0" eb="2">
      <t>コクホ</t>
    </rPh>
    <rPh sb="3" eb="5">
      <t>カニュウ</t>
    </rPh>
    <phoneticPr fontId="1"/>
  </si>
  <si>
    <t>非自発的失業</t>
    <rPh sb="0" eb="6">
      <t>ヒジハツテキシツギョウ</t>
    </rPh>
    <phoneticPr fontId="1"/>
  </si>
  <si>
    <t>該当のみ</t>
    <rPh sb="0" eb="2">
      <t>ガイトウ</t>
    </rPh>
    <phoneticPr fontId="1"/>
  </si>
  <si>
    <t>年齢入力用</t>
    <rPh sb="0" eb="2">
      <t>ネンレイ</t>
    </rPh>
    <rPh sb="2" eb="5">
      <t>ニュウリョクヨウ</t>
    </rPh>
    <phoneticPr fontId="1"/>
  </si>
  <si>
    <t>小学生～39歳</t>
    <rPh sb="0" eb="3">
      <t>ショウガクセイ</t>
    </rPh>
    <rPh sb="6" eb="7">
      <t>サイ</t>
    </rPh>
    <phoneticPr fontId="1"/>
  </si>
  <si>
    <t>40歳～64歳</t>
    <rPh sb="2" eb="3">
      <t>サイ</t>
    </rPh>
    <rPh sb="6" eb="7">
      <t>サイ</t>
    </rPh>
    <phoneticPr fontId="1"/>
  </si>
  <si>
    <t>65歳～74歳</t>
    <rPh sb="2" eb="3">
      <t>サイ</t>
    </rPh>
    <rPh sb="6" eb="7">
      <t>サイ</t>
    </rPh>
    <phoneticPr fontId="1"/>
  </si>
  <si>
    <t>〇</t>
    <phoneticPr fontId="1"/>
  </si>
  <si>
    <t>×</t>
    <phoneticPr fontId="1"/>
  </si>
  <si>
    <t>未就学児(小学校入学前)</t>
    <rPh sb="0" eb="4">
      <t>ミシュウガクジ</t>
    </rPh>
    <rPh sb="5" eb="8">
      <t>ショウガッコウ</t>
    </rPh>
    <rPh sb="8" eb="11">
      <t>ニュウガクマエ</t>
    </rPh>
    <phoneticPr fontId="1"/>
  </si>
  <si>
    <t>〇×入力用</t>
    <rPh sb="2" eb="4">
      <t>ニュウリョク</t>
    </rPh>
    <rPh sb="4" eb="5">
      <t>ヨウ</t>
    </rPh>
    <phoneticPr fontId="1"/>
  </si>
  <si>
    <t>※所得計算はこちら</t>
    <rPh sb="1" eb="3">
      <t>ショトク</t>
    </rPh>
    <rPh sb="3" eb="5">
      <t>ケイサン</t>
    </rPh>
    <phoneticPr fontId="1"/>
  </si>
  <si>
    <t>令和3年所得額</t>
    <rPh sb="0" eb="2">
      <t>レイワ</t>
    </rPh>
    <rPh sb="4" eb="7">
      <t>ショトクガク</t>
    </rPh>
    <phoneticPr fontId="1"/>
  </si>
  <si>
    <t>加入期間</t>
    <rPh sb="0" eb="2">
      <t>カニュウ</t>
    </rPh>
    <rPh sb="2" eb="4">
      <t>キカン</t>
    </rPh>
    <phoneticPr fontId="1"/>
  </si>
  <si>
    <t>か月</t>
    <rPh sb="1" eb="2">
      <t>ゲツ</t>
    </rPh>
    <phoneticPr fontId="1"/>
  </si>
  <si>
    <t>加入期間入力用</t>
    <rPh sb="0" eb="4">
      <t>カニュウキカン</t>
    </rPh>
    <rPh sb="4" eb="7">
      <t>ニュウリョクヨウ</t>
    </rPh>
    <phoneticPr fontId="1"/>
  </si>
  <si>
    <t>※計算結果は簡易的な試算によるものです。実際の課税額と異なる場合があります。</t>
    <rPh sb="6" eb="9">
      <t>カンイテキ</t>
    </rPh>
    <phoneticPr fontId="1"/>
  </si>
  <si>
    <t>令和4年度
固定資産税額</t>
    <rPh sb="0" eb="2">
      <t>レイワ</t>
    </rPh>
    <rPh sb="3" eb="5">
      <t>ネンド</t>
    </rPh>
    <rPh sb="6" eb="8">
      <t>コテイ</t>
    </rPh>
    <rPh sb="8" eb="11">
      <t>シサンゼイ</t>
    </rPh>
    <rPh sb="11" eb="12">
      <t>ガク</t>
    </rPh>
    <phoneticPr fontId="1"/>
  </si>
  <si>
    <t>２.試算結果</t>
    <rPh sb="2" eb="6">
      <t>シサンケッカ</t>
    </rPh>
    <phoneticPr fontId="1"/>
  </si>
  <si>
    <t>年税額</t>
    <rPh sb="0" eb="3">
      <t>ネンゼイガク</t>
    </rPh>
    <phoneticPr fontId="1"/>
  </si>
  <si>
    <t>円</t>
    <rPh sb="0" eb="1">
      <t>エン</t>
    </rPh>
    <phoneticPr fontId="1"/>
  </si>
  <si>
    <t>※参考（１か月平均）</t>
    <rPh sb="1" eb="3">
      <t>サンコウ</t>
    </rPh>
    <rPh sb="6" eb="7">
      <t>ゲツ</t>
    </rPh>
    <rPh sb="7" eb="9">
      <t>ヘイキン</t>
    </rPh>
    <phoneticPr fontId="1"/>
  </si>
  <si>
    <t>【内訳】</t>
    <rPh sb="1" eb="3">
      <t>ウチワケ</t>
    </rPh>
    <phoneticPr fontId="1"/>
  </si>
  <si>
    <t>　介護納付金分</t>
    <rPh sb="1" eb="3">
      <t>カイゴ</t>
    </rPh>
    <rPh sb="3" eb="6">
      <t>ノウフキン</t>
    </rPh>
    <rPh sb="6" eb="7">
      <t>ブン</t>
    </rPh>
    <phoneticPr fontId="1"/>
  </si>
  <si>
    <t>１.加入世帯の情報入力</t>
    <rPh sb="2" eb="4">
      <t>カニュウ</t>
    </rPh>
    <rPh sb="4" eb="6">
      <t>セタイ</t>
    </rPh>
    <rPh sb="7" eb="9">
      <t>ジョウホウ</t>
    </rPh>
    <rPh sb="9" eb="11">
      <t>ニュウリョク</t>
    </rPh>
    <phoneticPr fontId="1"/>
  </si>
  <si>
    <t>軽減判定</t>
    <rPh sb="0" eb="4">
      <t>ケイゲンハンテイ</t>
    </rPh>
    <phoneticPr fontId="1"/>
  </si>
  <si>
    <t>■軽減判定</t>
    <rPh sb="1" eb="5">
      <t>ケイゲンハンテイ</t>
    </rPh>
    <phoneticPr fontId="1"/>
  </si>
  <si>
    <t>税額計算用
所得</t>
    <rPh sb="0" eb="2">
      <t>ゼイガク</t>
    </rPh>
    <rPh sb="2" eb="4">
      <t>ケイサン</t>
    </rPh>
    <rPh sb="4" eb="5">
      <t>ヨウ</t>
    </rPh>
    <rPh sb="6" eb="8">
      <t>ショトク</t>
    </rPh>
    <phoneticPr fontId="1"/>
  </si>
  <si>
    <t>税額計算用
固定資産税</t>
    <rPh sb="0" eb="2">
      <t>ゼイガク</t>
    </rPh>
    <rPh sb="2" eb="4">
      <t>ケイサン</t>
    </rPh>
    <rPh sb="4" eb="5">
      <t>ヨウ</t>
    </rPh>
    <rPh sb="6" eb="11">
      <t>コテイシサンゼイ</t>
    </rPh>
    <phoneticPr fontId="1"/>
  </si>
  <si>
    <t>世帯合計所得</t>
    <rPh sb="0" eb="6">
      <t>セタイゴウケイショトク</t>
    </rPh>
    <phoneticPr fontId="1"/>
  </si>
  <si>
    <t>税額計算用
所得(準備)</t>
    <rPh sb="0" eb="2">
      <t>ゼイガク</t>
    </rPh>
    <rPh sb="2" eb="4">
      <t>ケイサン</t>
    </rPh>
    <rPh sb="4" eb="5">
      <t>ヨウ</t>
    </rPh>
    <rPh sb="6" eb="8">
      <t>ショトク</t>
    </rPh>
    <rPh sb="9" eb="11">
      <t>ジュンビ</t>
    </rPh>
    <phoneticPr fontId="1"/>
  </si>
  <si>
    <t>国保加入者数</t>
    <rPh sb="0" eb="2">
      <t>コクホ</t>
    </rPh>
    <rPh sb="2" eb="5">
      <t>カニュウシャ</t>
    </rPh>
    <rPh sb="5" eb="6">
      <t>スウ</t>
    </rPh>
    <phoneticPr fontId="1"/>
  </si>
  <si>
    <t>7割軽減</t>
    <rPh sb="1" eb="2">
      <t>ワリ</t>
    </rPh>
    <rPh sb="2" eb="4">
      <t>ケイゲン</t>
    </rPh>
    <phoneticPr fontId="1"/>
  </si>
  <si>
    <t>5割軽減</t>
    <rPh sb="1" eb="2">
      <t>ワリ</t>
    </rPh>
    <rPh sb="2" eb="4">
      <t>ケイゲン</t>
    </rPh>
    <phoneticPr fontId="1"/>
  </si>
  <si>
    <t>2割軽減</t>
    <rPh sb="1" eb="2">
      <t>ワリ</t>
    </rPh>
    <rPh sb="2" eb="4">
      <t>ケイゲン</t>
    </rPh>
    <phoneticPr fontId="1"/>
  </si>
  <si>
    <t>軽減判定用
所得</t>
    <rPh sb="0" eb="5">
      <t>ケイゲンハンテイヨウ</t>
    </rPh>
    <rPh sb="6" eb="8">
      <t>ショトク</t>
    </rPh>
    <phoneticPr fontId="1"/>
  </si>
  <si>
    <t>割軽減</t>
    <rPh sb="0" eb="3">
      <t>ワリケイゲン</t>
    </rPh>
    <phoneticPr fontId="1"/>
  </si>
  <si>
    <t>■税額計算</t>
    <rPh sb="1" eb="3">
      <t>ゼイガク</t>
    </rPh>
    <rPh sb="3" eb="5">
      <t>ケイサン</t>
    </rPh>
    <phoneticPr fontId="1"/>
  </si>
  <si>
    <t>所得割</t>
    <rPh sb="0" eb="3">
      <t>ショトクワリ</t>
    </rPh>
    <phoneticPr fontId="1"/>
  </si>
  <si>
    <t>資産割</t>
    <rPh sb="0" eb="2">
      <t>シサン</t>
    </rPh>
    <rPh sb="2" eb="3">
      <t>ワリ</t>
    </rPh>
    <phoneticPr fontId="1"/>
  </si>
  <si>
    <t>均等割</t>
    <rPh sb="0" eb="3">
      <t>キントウワリ</t>
    </rPh>
    <phoneticPr fontId="1"/>
  </si>
  <si>
    <t>平等割</t>
    <rPh sb="0" eb="2">
      <t>ビョウドウ</t>
    </rPh>
    <rPh sb="2" eb="3">
      <t>ワリ</t>
    </rPh>
    <phoneticPr fontId="1"/>
  </si>
  <si>
    <t>世帯加入期間</t>
    <rPh sb="0" eb="2">
      <t>セタイ</t>
    </rPh>
    <rPh sb="2" eb="6">
      <t>カニュウキカン</t>
    </rPh>
    <phoneticPr fontId="1"/>
  </si>
  <si>
    <t>税額計算用
国保加入期間</t>
    <rPh sb="6" eb="8">
      <t>コクホ</t>
    </rPh>
    <rPh sb="8" eb="10">
      <t>カニュウ</t>
    </rPh>
    <rPh sb="10" eb="12">
      <t>キカン</t>
    </rPh>
    <phoneticPr fontId="1"/>
  </si>
  <si>
    <t>合計</t>
    <rPh sb="0" eb="2">
      <t>ゴウケイ</t>
    </rPh>
    <phoneticPr fontId="1"/>
  </si>
  <si>
    <t>税額計算用
未就学児</t>
    <rPh sb="0" eb="5">
      <t>ゼイガクケイサンヨウ</t>
    </rPh>
    <rPh sb="6" eb="10">
      <t>ミシュウガクジ</t>
    </rPh>
    <phoneticPr fontId="1"/>
  </si>
  <si>
    <t>一般分</t>
    <rPh sb="0" eb="3">
      <t>イッパンブン</t>
    </rPh>
    <phoneticPr fontId="1"/>
  </si>
  <si>
    <t>介護分</t>
    <rPh sb="0" eb="2">
      <t>カイゴ</t>
    </rPh>
    <rPh sb="2" eb="3">
      <t>ブン</t>
    </rPh>
    <phoneticPr fontId="1"/>
  </si>
  <si>
    <t>　医療＋後期高齢者支援金分</t>
    <rPh sb="1" eb="3">
      <t>イリョウ</t>
    </rPh>
    <phoneticPr fontId="1"/>
  </si>
  <si>
    <t>税額計算用
介護保険</t>
    <rPh sb="0" eb="5">
      <t>ゼイガクケイサンヨウ</t>
    </rPh>
    <rPh sb="6" eb="8">
      <t>カイゴ</t>
    </rPh>
    <rPh sb="8" eb="10">
      <t>ホケン</t>
    </rPh>
    <phoneticPr fontId="1"/>
  </si>
  <si>
    <t>一般分計</t>
    <rPh sb="0" eb="3">
      <t>イッパンブン</t>
    </rPh>
    <rPh sb="3" eb="4">
      <t>ケイ</t>
    </rPh>
    <phoneticPr fontId="1"/>
  </si>
  <si>
    <t>介護分計</t>
    <rPh sb="0" eb="2">
      <t>カイゴ</t>
    </rPh>
    <rPh sb="2" eb="3">
      <t>ブン</t>
    </rPh>
    <rPh sb="3" eb="4">
      <t>ケイ</t>
    </rPh>
    <phoneticPr fontId="1"/>
  </si>
  <si>
    <t>年税額計</t>
    <rPh sb="0" eb="3">
      <t>ネンゼイガク</t>
    </rPh>
    <rPh sb="3" eb="4">
      <t>ケイ</t>
    </rPh>
    <phoneticPr fontId="1"/>
  </si>
  <si>
    <t>←10円未満切り捨て</t>
    <rPh sb="3" eb="4">
      <t>エン</t>
    </rPh>
    <rPh sb="4" eb="6">
      <t>ミマン</t>
    </rPh>
    <rPh sb="6" eb="7">
      <t>キ</t>
    </rPh>
    <rPh sb="8" eb="9">
      <t>ス</t>
    </rPh>
    <phoneticPr fontId="1"/>
  </si>
  <si>
    <t>1か月換算</t>
    <rPh sb="2" eb="3">
      <t>ゲツ</t>
    </rPh>
    <rPh sb="3" eb="5">
      <t>カンサン</t>
    </rPh>
    <phoneticPr fontId="1"/>
  </si>
  <si>
    <t>１.給与収入がある方</t>
    <rPh sb="2" eb="4">
      <t>キュウヨ</t>
    </rPh>
    <rPh sb="4" eb="6">
      <t>シュウニュウ</t>
    </rPh>
    <rPh sb="9" eb="10">
      <t>カタ</t>
    </rPh>
    <phoneticPr fontId="1"/>
  </si>
  <si>
    <t>2.年金収入がある方</t>
    <rPh sb="2" eb="6">
      <t>ネンキンシュウニュウ</t>
    </rPh>
    <rPh sb="9" eb="10">
      <t>カタ</t>
    </rPh>
    <phoneticPr fontId="1"/>
  </si>
  <si>
    <r>
      <t>　　</t>
    </r>
    <r>
      <rPr>
        <sz val="14"/>
        <color rgb="FFFF0000"/>
        <rFont val="游ゴシック"/>
        <family val="3"/>
        <charset val="128"/>
        <scheme val="minor"/>
      </rPr>
      <t>"給与所得控除後の金額"</t>
    </r>
    <r>
      <rPr>
        <sz val="14"/>
        <color theme="1"/>
        <rFont val="游ゴシック"/>
        <family val="2"/>
        <scheme val="minor"/>
      </rPr>
      <t>枠の金額が給与所得になります。</t>
    </r>
    <rPh sb="3" eb="7">
      <t>キュウヨショトク</t>
    </rPh>
    <rPh sb="7" eb="9">
      <t>コウジョ</t>
    </rPh>
    <rPh sb="9" eb="10">
      <t>ゴ</t>
    </rPh>
    <rPh sb="11" eb="12">
      <t>キン</t>
    </rPh>
    <rPh sb="12" eb="13">
      <t>ガク</t>
    </rPh>
    <rPh sb="14" eb="15">
      <t>ワク</t>
    </rPh>
    <rPh sb="16" eb="18">
      <t>キンガク</t>
    </rPh>
    <rPh sb="19" eb="21">
      <t>キュウヨ</t>
    </rPh>
    <rPh sb="21" eb="23">
      <t>ショトク</t>
    </rPh>
    <phoneticPr fontId="1"/>
  </si>
  <si>
    <r>
      <t>　　2ページ目の</t>
    </r>
    <r>
      <rPr>
        <sz val="14"/>
        <color rgb="FFFF0000"/>
        <rFont val="游ゴシック"/>
        <family val="3"/>
        <charset val="128"/>
        <scheme val="minor"/>
      </rPr>
      <t>"市民税・道民税の計算基礎"</t>
    </r>
    <r>
      <rPr>
        <sz val="14"/>
        <color theme="1"/>
        <rFont val="游ゴシック"/>
        <family val="3"/>
        <charset val="128"/>
        <scheme val="minor"/>
      </rPr>
      <t>の左側の"所得"枠の金額をご確認ください。</t>
    </r>
    <rPh sb="6" eb="7">
      <t>メ</t>
    </rPh>
    <rPh sb="9" eb="12">
      <t>シミンゼイ</t>
    </rPh>
    <rPh sb="13" eb="16">
      <t>ドウミンゼイ</t>
    </rPh>
    <rPh sb="17" eb="21">
      <t>ケイサンキソ</t>
    </rPh>
    <rPh sb="23" eb="24">
      <t>ヒダリ</t>
    </rPh>
    <rPh sb="24" eb="25">
      <t>ガワ</t>
    </rPh>
    <rPh sb="27" eb="29">
      <t>ショトク</t>
    </rPh>
    <rPh sb="30" eb="31">
      <t>ワク</t>
    </rPh>
    <rPh sb="32" eb="34">
      <t>キンガク</t>
    </rPh>
    <rPh sb="36" eb="38">
      <t>カクニン</t>
    </rPh>
    <phoneticPr fontId="1"/>
  </si>
  <si>
    <t>　【上記書類をお持ちでない方】</t>
    <rPh sb="2" eb="4">
      <t>ジョウキ</t>
    </rPh>
    <rPh sb="4" eb="6">
      <t>ショルイ</t>
    </rPh>
    <rPh sb="8" eb="9">
      <t>モ</t>
    </rPh>
    <rPh sb="13" eb="14">
      <t>カタ</t>
    </rPh>
    <phoneticPr fontId="1"/>
  </si>
  <si>
    <t>　　下記"1年間の合計給与収入"を入力してください。下段の枠に所得額が表示されます。</t>
    <rPh sb="2" eb="4">
      <t>カキ</t>
    </rPh>
    <rPh sb="6" eb="8">
      <t>ネンカン</t>
    </rPh>
    <rPh sb="9" eb="11">
      <t>ゴウケイ</t>
    </rPh>
    <rPh sb="11" eb="15">
      <t>キュウヨシュウニュウ</t>
    </rPh>
    <rPh sb="17" eb="19">
      <t>ニュウリョク</t>
    </rPh>
    <rPh sb="26" eb="28">
      <t>ゲダン</t>
    </rPh>
    <rPh sb="29" eb="30">
      <t>ワク</t>
    </rPh>
    <rPh sb="31" eb="34">
      <t>ショトクガク</t>
    </rPh>
    <rPh sb="35" eb="37">
      <t>ヒョウジ</t>
    </rPh>
    <phoneticPr fontId="1"/>
  </si>
  <si>
    <t>↓</t>
    <phoneticPr fontId="1"/>
  </si>
  <si>
    <t>１年間の合計給与収入</t>
    <rPh sb="1" eb="3">
      <t>ネンカン</t>
    </rPh>
    <rPh sb="4" eb="6">
      <t>ゴウケイ</t>
    </rPh>
    <rPh sb="6" eb="8">
      <t>キュウヨ</t>
    </rPh>
    <rPh sb="8" eb="10">
      <t>シュウニュウ</t>
    </rPh>
    <phoneticPr fontId="1"/>
  </si>
  <si>
    <t>　　　※複数の源泉徴収票をお持ちの方は、合計の金額を算出してください。</t>
    <rPh sb="4" eb="6">
      <t>フクスウ</t>
    </rPh>
    <rPh sb="7" eb="12">
      <t>ゲンセンチョウシュウヒョウ</t>
    </rPh>
    <rPh sb="14" eb="15">
      <t>モ</t>
    </rPh>
    <rPh sb="17" eb="18">
      <t>カタ</t>
    </rPh>
    <rPh sb="20" eb="22">
      <t>ゴウケイ</t>
    </rPh>
    <rPh sb="23" eb="25">
      <t>キンガク</t>
    </rPh>
    <rPh sb="26" eb="28">
      <t>サンシュツ</t>
    </rPh>
    <phoneticPr fontId="1"/>
  </si>
  <si>
    <t>１年間の合計年金収入</t>
    <rPh sb="1" eb="3">
      <t>ネンカン</t>
    </rPh>
    <rPh sb="4" eb="6">
      <t>ゴウケイ</t>
    </rPh>
    <rPh sb="6" eb="8">
      <t>ネンキン</t>
    </rPh>
    <rPh sb="8" eb="10">
      <t>シュウニュウ</t>
    </rPh>
    <phoneticPr fontId="1"/>
  </si>
  <si>
    <t>3.その他の収入がある方（営業収入や不動産収入など）</t>
    <rPh sb="4" eb="5">
      <t>ホカ</t>
    </rPh>
    <rPh sb="6" eb="8">
      <t>シュウニュウ</t>
    </rPh>
    <rPh sb="11" eb="12">
      <t>カタ</t>
    </rPh>
    <rPh sb="13" eb="17">
      <t>エイギョウシュウニュウ</t>
    </rPh>
    <rPh sb="18" eb="23">
      <t>フドウサンシュウニュウ</t>
    </rPh>
    <phoneticPr fontId="1"/>
  </si>
  <si>
    <t>　　申告書に記載された所得額をご確認ください。</t>
    <rPh sb="2" eb="5">
      <t>シンコクショ</t>
    </rPh>
    <rPh sb="6" eb="8">
      <t>キサイ</t>
    </rPh>
    <rPh sb="11" eb="13">
      <t>ショトク</t>
    </rPh>
    <rPh sb="13" eb="14">
      <t>ガク</t>
    </rPh>
    <rPh sb="16" eb="18">
      <t>カクニン</t>
    </rPh>
    <phoneticPr fontId="1"/>
  </si>
  <si>
    <t>　　収入金額から必要経費を差し引いた所得金額を入力してください。</t>
    <rPh sb="2" eb="4">
      <t>シュウニュウ</t>
    </rPh>
    <rPh sb="4" eb="6">
      <t>キンガク</t>
    </rPh>
    <rPh sb="8" eb="12">
      <t>ヒツヨウケイヒ</t>
    </rPh>
    <rPh sb="13" eb="14">
      <t>サ</t>
    </rPh>
    <rPh sb="15" eb="16">
      <t>ヒ</t>
    </rPh>
    <rPh sb="18" eb="22">
      <t>ショトクキンガク</t>
    </rPh>
    <rPh sb="23" eb="25">
      <t>ニュウリョク</t>
    </rPh>
    <phoneticPr fontId="1"/>
  </si>
  <si>
    <t>■１年間の合計給与収入</t>
    <phoneticPr fontId="1"/>
  </si>
  <si>
    <t>55.1万円未満</t>
    <rPh sb="4" eb="6">
      <t>マンエン</t>
    </rPh>
    <rPh sb="6" eb="8">
      <t>ミマン</t>
    </rPh>
    <phoneticPr fontId="2"/>
  </si>
  <si>
    <t>55.1万円以上～　161.9万円未満</t>
    <rPh sb="4" eb="6">
      <t>マンエン</t>
    </rPh>
    <rPh sb="6" eb="8">
      <t>イジョウ</t>
    </rPh>
    <rPh sb="15" eb="17">
      <t>マンエン</t>
    </rPh>
    <rPh sb="17" eb="19">
      <t>ミマン</t>
    </rPh>
    <phoneticPr fontId="2"/>
  </si>
  <si>
    <t>161.9万円以上～　162.0万円未満</t>
    <rPh sb="5" eb="7">
      <t>マンエン</t>
    </rPh>
    <rPh sb="7" eb="9">
      <t>イジョウ</t>
    </rPh>
    <rPh sb="16" eb="18">
      <t>マンエン</t>
    </rPh>
    <rPh sb="18" eb="20">
      <t>ミマン</t>
    </rPh>
    <phoneticPr fontId="2"/>
  </si>
  <si>
    <t>162.0万円以上～　162.2万円未満</t>
    <rPh sb="5" eb="7">
      <t>マンエン</t>
    </rPh>
    <rPh sb="7" eb="9">
      <t>イジョウ</t>
    </rPh>
    <rPh sb="16" eb="18">
      <t>マンエン</t>
    </rPh>
    <rPh sb="18" eb="20">
      <t>ミマン</t>
    </rPh>
    <phoneticPr fontId="2"/>
  </si>
  <si>
    <t>162.2万円以上～　162.4万円未満</t>
    <rPh sb="5" eb="7">
      <t>マンエン</t>
    </rPh>
    <rPh sb="7" eb="9">
      <t>イジョウ</t>
    </rPh>
    <rPh sb="16" eb="18">
      <t>マンエン</t>
    </rPh>
    <rPh sb="18" eb="20">
      <t>ミマン</t>
    </rPh>
    <phoneticPr fontId="2"/>
  </si>
  <si>
    <t>162.4万円以上～　162.8万円未満</t>
    <rPh sb="5" eb="7">
      <t>マンエン</t>
    </rPh>
    <rPh sb="7" eb="9">
      <t>イジョウ</t>
    </rPh>
    <rPh sb="16" eb="18">
      <t>マンエン</t>
    </rPh>
    <rPh sb="18" eb="20">
      <t>ミマン</t>
    </rPh>
    <phoneticPr fontId="2"/>
  </si>
  <si>
    <t>162.8万円以上～　180.0万円未満</t>
    <rPh sb="5" eb="7">
      <t>マンエン</t>
    </rPh>
    <rPh sb="7" eb="9">
      <t>イジョウ</t>
    </rPh>
    <rPh sb="16" eb="18">
      <t>マンエン</t>
    </rPh>
    <rPh sb="18" eb="20">
      <t>ミマン</t>
    </rPh>
    <phoneticPr fontId="2"/>
  </si>
  <si>
    <t>180.0万円以上～　360.0万円未満</t>
    <rPh sb="5" eb="7">
      <t>マンエン</t>
    </rPh>
    <rPh sb="7" eb="9">
      <t>イジョウ</t>
    </rPh>
    <rPh sb="16" eb="18">
      <t>マンエン</t>
    </rPh>
    <rPh sb="18" eb="20">
      <t>ミマン</t>
    </rPh>
    <phoneticPr fontId="2"/>
  </si>
  <si>
    <t>360.0万円以上～　660.0万円未満</t>
    <rPh sb="5" eb="7">
      <t>マンエン</t>
    </rPh>
    <rPh sb="7" eb="9">
      <t>イジョウ</t>
    </rPh>
    <rPh sb="16" eb="18">
      <t>マンエン</t>
    </rPh>
    <rPh sb="18" eb="20">
      <t>ミマン</t>
    </rPh>
    <phoneticPr fontId="2"/>
  </si>
  <si>
    <t>660.0万円以上～  850.0万円未満</t>
    <rPh sb="5" eb="7">
      <t>マンエン</t>
    </rPh>
    <rPh sb="7" eb="9">
      <t>イジョウ</t>
    </rPh>
    <rPh sb="17" eb="19">
      <t>マンエン</t>
    </rPh>
    <rPh sb="19" eb="21">
      <t>ミマン</t>
    </rPh>
    <phoneticPr fontId="2"/>
  </si>
  <si>
    <t xml:space="preserve"> 850.0万円以上</t>
    <phoneticPr fontId="1"/>
  </si>
  <si>
    <t>■給与所得金額表</t>
    <phoneticPr fontId="1"/>
  </si>
  <si>
    <t>↓</t>
    <phoneticPr fontId="1"/>
  </si>
  <si>
    <t>該当番号</t>
    <rPh sb="0" eb="4">
      <t>ガイトウバンゴウ</t>
    </rPh>
    <phoneticPr fontId="1"/>
  </si>
  <si>
    <t>所得</t>
    <rPh sb="0" eb="2">
      <t>ショトク</t>
    </rPh>
    <phoneticPr fontId="1"/>
  </si>
  <si>
    <t>給与所得</t>
    <rPh sb="0" eb="4">
      <t>キュウヨショトク</t>
    </rPh>
    <phoneticPr fontId="1"/>
  </si>
  <si>
    <t>+</t>
    <phoneticPr fontId="1"/>
  </si>
  <si>
    <t>年金所得</t>
    <rPh sb="0" eb="4">
      <t>ネンキンショトク</t>
    </rPh>
    <phoneticPr fontId="1"/>
  </si>
  <si>
    <t>その他所得</t>
    <rPh sb="2" eb="3">
      <t>ホカ</t>
    </rPh>
    <rPh sb="3" eb="5">
      <t>ショトク</t>
    </rPh>
    <phoneticPr fontId="1"/>
  </si>
  <si>
    <t>＝</t>
    <phoneticPr fontId="1"/>
  </si>
  <si>
    <t>合計所得</t>
    <rPh sb="0" eb="2">
      <t>ゴウケイ</t>
    </rPh>
    <rPh sb="2" eb="4">
      <t>ショトク</t>
    </rPh>
    <phoneticPr fontId="1"/>
  </si>
  <si>
    <t>所得金額調整控除額</t>
    <rPh sb="0" eb="4">
      <t>ショトクキンガク</t>
    </rPh>
    <rPh sb="4" eb="8">
      <t>チョウセイコウジョ</t>
    </rPh>
    <rPh sb="8" eb="9">
      <t>ガク</t>
    </rPh>
    <phoneticPr fontId="1"/>
  </si>
  <si>
    <t>〇</t>
    <phoneticPr fontId="1"/>
  </si>
  <si>
    <t>所得（調整控除後）</t>
    <rPh sb="0" eb="2">
      <t>ショトク</t>
    </rPh>
    <rPh sb="3" eb="8">
      <t>チョウセイコウジョゴ</t>
    </rPh>
    <phoneticPr fontId="1"/>
  </si>
  <si>
    <t>受給者の年齢</t>
    <rPh sb="0" eb="3">
      <t>ジュキュウシャ</t>
    </rPh>
    <rPh sb="4" eb="6">
      <t>ネンレイ</t>
    </rPh>
    <phoneticPr fontId="1"/>
  </si>
  <si>
    <t>所得金額調整控除対象用</t>
    <rPh sb="10" eb="11">
      <t>ヨウ</t>
    </rPh>
    <phoneticPr fontId="1"/>
  </si>
  <si>
    <t>×</t>
    <phoneticPr fontId="1"/>
  </si>
  <si>
    <t>（所得額）</t>
    <rPh sb="1" eb="4">
      <t>ショトクガク</t>
    </rPh>
    <phoneticPr fontId="1"/>
  </si>
  <si>
    <t>合計所得</t>
    <rPh sb="0" eb="4">
      <t>ゴウケイショトク</t>
    </rPh>
    <phoneticPr fontId="1"/>
  </si>
  <si>
    <t>※所得金額調整控除額</t>
    <rPh sb="9" eb="10">
      <t>ガク</t>
    </rPh>
    <phoneticPr fontId="1"/>
  </si>
  <si>
    <t>　給与所得に係る調整控除用</t>
    <rPh sb="1" eb="5">
      <t>キュウヨショトク</t>
    </rPh>
    <rPh sb="6" eb="7">
      <t>カカ</t>
    </rPh>
    <rPh sb="8" eb="12">
      <t>チョウセイコウジョ</t>
    </rPh>
    <rPh sb="12" eb="13">
      <t>ヨウ</t>
    </rPh>
    <phoneticPr fontId="1"/>
  </si>
  <si>
    <t>　年金所得に係る調整控除用</t>
    <rPh sb="1" eb="5">
      <t>ネンキンショトク</t>
    </rPh>
    <rPh sb="6" eb="7">
      <t>カカ</t>
    </rPh>
    <rPh sb="8" eb="12">
      <t>チョウセイコウジョ</t>
    </rPh>
    <rPh sb="12" eb="13">
      <t>ヨウ</t>
    </rPh>
    <phoneticPr fontId="1"/>
  </si>
  <si>
    <t>330万円以上～410万円未満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2"/>
  </si>
  <si>
    <t>410万円以上～770万円未満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2"/>
  </si>
  <si>
    <t>770万円以上～1,000万円未満</t>
    <rPh sb="3" eb="5">
      <t>マンエン</t>
    </rPh>
    <rPh sb="5" eb="7">
      <t>イジョウ</t>
    </rPh>
    <rPh sb="13" eb="15">
      <t>マンエン</t>
    </rPh>
    <rPh sb="15" eb="17">
      <t>ミマン</t>
    </rPh>
    <phoneticPr fontId="2"/>
  </si>
  <si>
    <t>1,000万円以上</t>
    <rPh sb="5" eb="7">
      <t>マンエン</t>
    </rPh>
    <rPh sb="7" eb="9">
      <t>イジョウ</t>
    </rPh>
    <phoneticPr fontId="2"/>
  </si>
  <si>
    <t>■年金所得金額表(65歳以上)</t>
    <rPh sb="1" eb="5">
      <t>ネンキンショトク</t>
    </rPh>
    <rPh sb="5" eb="8">
      <t>キンガクヒョウ</t>
    </rPh>
    <rPh sb="11" eb="12">
      <t>サイ</t>
    </rPh>
    <rPh sb="12" eb="14">
      <t>イジョウ</t>
    </rPh>
    <phoneticPr fontId="1"/>
  </si>
  <si>
    <t>受給者の年齢用</t>
    <rPh sb="0" eb="3">
      <t>ジュキュウシャ</t>
    </rPh>
    <rPh sb="4" eb="6">
      <t>ネンレイ</t>
    </rPh>
    <rPh sb="6" eb="7">
      <t>ヨウ</t>
    </rPh>
    <phoneticPr fontId="1"/>
  </si>
  <si>
    <t>65歳以上</t>
    <rPh sb="2" eb="3">
      <t>サイ</t>
    </rPh>
    <rPh sb="3" eb="5">
      <t>イジョウ</t>
    </rPh>
    <phoneticPr fontId="1"/>
  </si>
  <si>
    <t>65歳未満</t>
    <rPh sb="2" eb="3">
      <t>サイ</t>
    </rPh>
    <rPh sb="3" eb="5">
      <t>ミマン</t>
    </rPh>
    <phoneticPr fontId="1"/>
  </si>
  <si>
    <t>※所得金額調整控除対象のみ</t>
    <rPh sb="1" eb="5">
      <t>ショトクキンガク</t>
    </rPh>
    <rPh sb="5" eb="9">
      <t>チョウセイコウジョ</t>
    </rPh>
    <rPh sb="9" eb="11">
      <t>タイショウ</t>
    </rPh>
    <phoneticPr fontId="1"/>
  </si>
  <si>
    <t>■１年間の合計年金収入</t>
    <rPh sb="7" eb="9">
      <t>ネンキン</t>
    </rPh>
    <phoneticPr fontId="1"/>
  </si>
  <si>
    <t>要入力</t>
    <rPh sb="0" eb="1">
      <t>ヨウ</t>
    </rPh>
    <rPh sb="1" eb="3">
      <t>ニュウリョク</t>
    </rPh>
    <phoneticPr fontId="1"/>
  </si>
  <si>
    <t>(65歳以上)</t>
    <phoneticPr fontId="1"/>
  </si>
  <si>
    <t>(65歳未満)</t>
    <phoneticPr fontId="1"/>
  </si>
  <si>
    <t>130万円未満</t>
    <rPh sb="3" eb="5">
      <t>マンエン</t>
    </rPh>
    <rPh sb="5" eb="7">
      <t>ミマン</t>
    </rPh>
    <phoneticPr fontId="2"/>
  </si>
  <si>
    <t>130万円以上～330万円未満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2"/>
  </si>
  <si>
    <t>　　"1年間の合計年金収入"と"受給者の年齢"を入力してください。下段の枠に所得額が表示されます。</t>
    <rPh sb="4" eb="6">
      <t>ネンカン</t>
    </rPh>
    <rPh sb="7" eb="9">
      <t>ゴウケイ</t>
    </rPh>
    <rPh sb="9" eb="11">
      <t>ネンキン</t>
    </rPh>
    <rPh sb="11" eb="13">
      <t>シュウニュウ</t>
    </rPh>
    <rPh sb="16" eb="19">
      <t>ジュキュウシャ</t>
    </rPh>
    <rPh sb="20" eb="22">
      <t>ネンレイ</t>
    </rPh>
    <rPh sb="24" eb="26">
      <t>ニュウリョク</t>
    </rPh>
    <rPh sb="33" eb="35">
      <t>ゲダン</t>
    </rPh>
    <rPh sb="36" eb="37">
      <t>ワク</t>
    </rPh>
    <rPh sb="38" eb="41">
      <t>ショトクガク</t>
    </rPh>
    <rPh sb="42" eb="44">
      <t>ヒョウジ</t>
    </rPh>
    <phoneticPr fontId="1"/>
  </si>
  <si>
    <t>↓上限額チェック</t>
    <rPh sb="1" eb="4">
      <t>ジョウゲンガク</t>
    </rPh>
    <phoneticPr fontId="1"/>
  </si>
  <si>
    <t>×</t>
  </si>
  <si>
    <t>〇</t>
  </si>
  <si>
    <t>下記の枠に、加入する予定の世帯情報を入力してください。</t>
    <rPh sb="0" eb="2">
      <t>カキ</t>
    </rPh>
    <rPh sb="3" eb="4">
      <t>ワク</t>
    </rPh>
    <rPh sb="6" eb="8">
      <t>カニュウ</t>
    </rPh>
    <rPh sb="10" eb="12">
      <t>ヨテイ</t>
    </rPh>
    <rPh sb="13" eb="15">
      <t>セタイ</t>
    </rPh>
    <rPh sb="15" eb="17">
      <t>ジョウホウ</t>
    </rPh>
    <rPh sb="18" eb="20">
      <t>ニュウリョク</t>
    </rPh>
    <phoneticPr fontId="1"/>
  </si>
  <si>
    <t>※入力例</t>
    <rPh sb="1" eb="3">
      <t>ニュウリョク</t>
    </rPh>
    <rPh sb="3" eb="4">
      <t>レイ</t>
    </rPh>
    <phoneticPr fontId="1"/>
  </si>
  <si>
    <t>※入力例</t>
    <rPh sb="1" eb="3">
      <t>ニュウリョク</t>
    </rPh>
    <rPh sb="3" eb="4">
      <t>レイ</t>
    </rPh>
    <phoneticPr fontId="1"/>
  </si>
  <si>
    <t>75歳～</t>
    <rPh sb="2" eb="3">
      <t>サイ</t>
    </rPh>
    <phoneticPr fontId="1"/>
  </si>
  <si>
    <t>税額計算用
介護有効保険期間</t>
    <rPh sb="0" eb="5">
      <t>ゼイガクケイサンヨウ</t>
    </rPh>
    <rPh sb="6" eb="8">
      <t>カイゴ</t>
    </rPh>
    <rPh sb="8" eb="10">
      <t>ユウコウ</t>
    </rPh>
    <rPh sb="10" eb="12">
      <t>ホケン</t>
    </rPh>
    <rPh sb="12" eb="14">
      <t>キカン</t>
    </rPh>
    <phoneticPr fontId="1"/>
  </si>
  <si>
    <t>税額計算用
一般有効保険期間</t>
    <rPh sb="0" eb="5">
      <t>ゼイガクケイサンヨウ</t>
    </rPh>
    <rPh sb="6" eb="8">
      <t>イッパン</t>
    </rPh>
    <rPh sb="8" eb="10">
      <t>ユウコウ</t>
    </rPh>
    <rPh sb="10" eb="12">
      <t>ホケン</t>
    </rPh>
    <rPh sb="12" eb="14">
      <t>キカン</t>
    </rPh>
    <phoneticPr fontId="1"/>
  </si>
  <si>
    <r>
      <t>　　給与支払者から受け取った</t>
    </r>
    <r>
      <rPr>
        <sz val="14"/>
        <color rgb="FFFF0000"/>
        <rFont val="游ゴシック"/>
        <family val="3"/>
        <charset val="128"/>
        <scheme val="minor"/>
      </rPr>
      <t>"令和4年分給与所得の源泉徴収票"</t>
    </r>
    <r>
      <rPr>
        <sz val="14"/>
        <color theme="1"/>
        <rFont val="游ゴシック"/>
        <family val="2"/>
        <scheme val="minor"/>
      </rPr>
      <t>に記載されている</t>
    </r>
    <rPh sb="2" eb="4">
      <t>キュウヨ</t>
    </rPh>
    <rPh sb="4" eb="7">
      <t>シハライシャ</t>
    </rPh>
    <rPh sb="9" eb="10">
      <t>ウ</t>
    </rPh>
    <rPh sb="11" eb="12">
      <t>ト</t>
    </rPh>
    <rPh sb="15" eb="17">
      <t>レイワ</t>
    </rPh>
    <rPh sb="18" eb="20">
      <t>ネンブン</t>
    </rPh>
    <rPh sb="20" eb="24">
      <t>キュウヨショトク</t>
    </rPh>
    <rPh sb="25" eb="30">
      <t>ゲンセンチョウシュウヒョウ</t>
    </rPh>
    <rPh sb="32" eb="34">
      <t>キサイ</t>
    </rPh>
    <phoneticPr fontId="1"/>
  </si>
  <si>
    <t>令和6年度　留萌市国民健康保険税　試算表</t>
    <rPh sb="0" eb="2">
      <t>レイワ</t>
    </rPh>
    <rPh sb="3" eb="5">
      <t>ネンド</t>
    </rPh>
    <rPh sb="6" eb="9">
      <t>ルモイシ</t>
    </rPh>
    <rPh sb="9" eb="16">
      <t>コクミンケンコウホケンゼイ</t>
    </rPh>
    <rPh sb="17" eb="20">
      <t>シサンヒョウ</t>
    </rPh>
    <phoneticPr fontId="1"/>
  </si>
  <si>
    <t>令和6年度　国民健康保険税試算に係る所得計算</t>
    <rPh sb="0" eb="2">
      <t>レイワ</t>
    </rPh>
    <rPh sb="3" eb="5">
      <t>ネンド</t>
    </rPh>
    <rPh sb="6" eb="12">
      <t>コクミンケンコウホケン</t>
    </rPh>
    <rPh sb="12" eb="13">
      <t>ゼイ</t>
    </rPh>
    <rPh sb="13" eb="15">
      <t>シサン</t>
    </rPh>
    <rPh sb="16" eb="17">
      <t>カカ</t>
    </rPh>
    <rPh sb="18" eb="22">
      <t>ショトクケイサン</t>
    </rPh>
    <phoneticPr fontId="1"/>
  </si>
  <si>
    <t>令和5年1月1日～令和5年12月31日の1年間の合計収入が計算対象となります。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ニチ</t>
    </rPh>
    <rPh sb="21" eb="23">
      <t>ネンカン</t>
    </rPh>
    <rPh sb="24" eb="28">
      <t>ゴウケイシュウニュウ</t>
    </rPh>
    <rPh sb="29" eb="33">
      <t>ケイサンタイショウ</t>
    </rPh>
    <phoneticPr fontId="1"/>
  </si>
  <si>
    <t>　【令和5年分給与所得の源泉徴収票をお持ちの方】</t>
    <rPh sb="19" eb="20">
      <t>モ</t>
    </rPh>
    <rPh sb="22" eb="23">
      <t>カタ</t>
    </rPh>
    <phoneticPr fontId="1"/>
  </si>
  <si>
    <r>
      <t>　　給与支払者から受け取った</t>
    </r>
    <r>
      <rPr>
        <sz val="14"/>
        <color rgb="FFFF0000"/>
        <rFont val="游ゴシック"/>
        <family val="3"/>
        <charset val="128"/>
        <scheme val="minor"/>
      </rPr>
      <t>"令和5年分給与所得の源泉徴収票"</t>
    </r>
    <r>
      <rPr>
        <sz val="14"/>
        <color theme="1"/>
        <rFont val="游ゴシック"/>
        <family val="2"/>
        <scheme val="minor"/>
      </rPr>
      <t>に記載されている</t>
    </r>
    <rPh sb="2" eb="4">
      <t>キュウヨ</t>
    </rPh>
    <rPh sb="4" eb="7">
      <t>シハライシャ</t>
    </rPh>
    <rPh sb="9" eb="10">
      <t>ウ</t>
    </rPh>
    <rPh sb="11" eb="12">
      <t>ト</t>
    </rPh>
    <rPh sb="15" eb="17">
      <t>レイワ</t>
    </rPh>
    <rPh sb="18" eb="20">
      <t>ネンブン</t>
    </rPh>
    <rPh sb="20" eb="24">
      <t>キュウヨショトク</t>
    </rPh>
    <rPh sb="25" eb="30">
      <t>ゲンセンチョウシュウヒョウ</t>
    </rPh>
    <rPh sb="32" eb="34">
      <t>キサイ</t>
    </rPh>
    <phoneticPr fontId="1"/>
  </si>
  <si>
    <t>　【令和6年度市民税・道民税納税通知書をお持ちの方】</t>
    <rPh sb="5" eb="7">
      <t>ネンド</t>
    </rPh>
    <rPh sb="7" eb="8">
      <t>シ</t>
    </rPh>
    <rPh sb="8" eb="10">
      <t>ミンゼイ</t>
    </rPh>
    <rPh sb="11" eb="14">
      <t>ドウミンゼイ</t>
    </rPh>
    <rPh sb="14" eb="19">
      <t>ノウゼイツウチショ</t>
    </rPh>
    <rPh sb="21" eb="22">
      <t>モ</t>
    </rPh>
    <rPh sb="24" eb="25">
      <t>カタ</t>
    </rPh>
    <phoneticPr fontId="1"/>
  </si>
  <si>
    <t>令和5年分給与所得額</t>
    <rPh sb="0" eb="2">
      <t>レイワ</t>
    </rPh>
    <rPh sb="3" eb="4">
      <t>ネン</t>
    </rPh>
    <rPh sb="4" eb="5">
      <t>ブン</t>
    </rPh>
    <rPh sb="5" eb="7">
      <t>キュウヨ</t>
    </rPh>
    <rPh sb="7" eb="10">
      <t>ショトクガク</t>
    </rPh>
    <phoneticPr fontId="1"/>
  </si>
  <si>
    <t>　　※"令和5年分公的年金等の源泉徴収票"などを確認し、1年間の年金収入をご確認ください。</t>
    <rPh sb="4" eb="6">
      <t>レイワ</t>
    </rPh>
    <rPh sb="7" eb="9">
      <t>ネンブン</t>
    </rPh>
    <rPh sb="9" eb="13">
      <t>コウテキネンキン</t>
    </rPh>
    <rPh sb="13" eb="14">
      <t>ナド</t>
    </rPh>
    <rPh sb="15" eb="20">
      <t>ゲンセンチョウシュウヒョウ</t>
    </rPh>
    <rPh sb="24" eb="26">
      <t>カクニン</t>
    </rPh>
    <rPh sb="29" eb="31">
      <t>ネンカン</t>
    </rPh>
    <rPh sb="32" eb="36">
      <t>ネンキンシュウニュウ</t>
    </rPh>
    <rPh sb="38" eb="40">
      <t>カクニン</t>
    </rPh>
    <phoneticPr fontId="1"/>
  </si>
  <si>
    <t>※令和5年12月31日時点</t>
    <rPh sb="1" eb="3">
      <t>レイワ</t>
    </rPh>
    <rPh sb="4" eb="5">
      <t>ネン</t>
    </rPh>
    <rPh sb="7" eb="8">
      <t>ガツ</t>
    </rPh>
    <rPh sb="10" eb="11">
      <t>ニチ</t>
    </rPh>
    <rPh sb="11" eb="13">
      <t>ジテン</t>
    </rPh>
    <phoneticPr fontId="1"/>
  </si>
  <si>
    <t>令和5年分年金所得額</t>
    <rPh sb="0" eb="2">
      <t>レイワ</t>
    </rPh>
    <rPh sb="3" eb="4">
      <t>ネン</t>
    </rPh>
    <rPh sb="4" eb="5">
      <t>ブン</t>
    </rPh>
    <rPh sb="5" eb="7">
      <t>ネンキン</t>
    </rPh>
    <rPh sb="7" eb="10">
      <t>ショトクガク</t>
    </rPh>
    <phoneticPr fontId="1"/>
  </si>
  <si>
    <t>　【令和5年分確定申告書控えをお持ちの方】</t>
    <rPh sb="6" eb="7">
      <t>ブン</t>
    </rPh>
    <rPh sb="7" eb="12">
      <t>カクテイシンコクショ</t>
    </rPh>
    <rPh sb="12" eb="13">
      <t>ヒカ</t>
    </rPh>
    <phoneticPr fontId="1"/>
  </si>
  <si>
    <r>
      <t>令和6年度　留萌市国民健康保険税　試算表（</t>
    </r>
    <r>
      <rPr>
        <sz val="26"/>
        <color rgb="FFFF0000"/>
        <rFont val="游ゴシック"/>
        <family val="3"/>
        <charset val="128"/>
        <scheme val="minor"/>
      </rPr>
      <t>例</t>
    </r>
    <r>
      <rPr>
        <sz val="26"/>
        <color theme="1"/>
        <rFont val="游ゴシック"/>
        <family val="2"/>
        <scheme val="minor"/>
      </rPr>
      <t>）</t>
    </r>
    <rPh sb="0" eb="2">
      <t>レイワ</t>
    </rPh>
    <rPh sb="3" eb="5">
      <t>ネンド</t>
    </rPh>
    <rPh sb="6" eb="9">
      <t>ルモイシ</t>
    </rPh>
    <rPh sb="9" eb="16">
      <t>コクミンケンコウホケンゼイ</t>
    </rPh>
    <rPh sb="17" eb="20">
      <t>シサンヒョウ</t>
    </rPh>
    <rPh sb="21" eb="22">
      <t>レイ</t>
    </rPh>
    <phoneticPr fontId="1"/>
  </si>
  <si>
    <r>
      <t xml:space="preserve">令和6年度
固定資産税額
</t>
    </r>
    <r>
      <rPr>
        <sz val="12"/>
        <color rgb="FFFF0000"/>
        <rFont val="游ゴシック"/>
        <family val="3"/>
        <charset val="128"/>
        <scheme val="minor"/>
      </rPr>
      <t>※都市計画税除く</t>
    </r>
    <rPh sb="0" eb="2">
      <t>レイワ</t>
    </rPh>
    <rPh sb="3" eb="5">
      <t>ネンド</t>
    </rPh>
    <rPh sb="6" eb="8">
      <t>コテイ</t>
    </rPh>
    <rPh sb="8" eb="11">
      <t>シサンゼイ</t>
    </rPh>
    <rPh sb="11" eb="12">
      <t>ガク</t>
    </rPh>
    <rPh sb="14" eb="16">
      <t>トシ</t>
    </rPh>
    <rPh sb="16" eb="19">
      <t>ケイカクゼイ</t>
    </rPh>
    <rPh sb="19" eb="20">
      <t>ノゾ</t>
    </rPh>
    <phoneticPr fontId="1"/>
  </si>
  <si>
    <t xml:space="preserve">
令和5年所得額</t>
    <rPh sb="1" eb="3">
      <t>レイワ</t>
    </rPh>
    <rPh sb="5" eb="8">
      <t>ショトクガク</t>
    </rPh>
    <phoneticPr fontId="1"/>
  </si>
  <si>
    <r>
      <t>令和6年度　国民健康保険税試算に係る所得計算（</t>
    </r>
    <r>
      <rPr>
        <sz val="26"/>
        <color rgb="FFFF0000"/>
        <rFont val="游ゴシック"/>
        <family val="3"/>
        <charset val="128"/>
        <scheme val="minor"/>
      </rPr>
      <t>例</t>
    </r>
    <r>
      <rPr>
        <sz val="26"/>
        <color theme="1"/>
        <rFont val="游ゴシック"/>
        <family val="2"/>
        <scheme val="minor"/>
      </rPr>
      <t>）</t>
    </r>
    <rPh sb="0" eb="2">
      <t>レイワ</t>
    </rPh>
    <rPh sb="3" eb="5">
      <t>ネンド</t>
    </rPh>
    <rPh sb="6" eb="12">
      <t>コクミンケンコウホケン</t>
    </rPh>
    <rPh sb="12" eb="13">
      <t>ゼイ</t>
    </rPh>
    <rPh sb="13" eb="15">
      <t>シサン</t>
    </rPh>
    <rPh sb="16" eb="17">
      <t>カカ</t>
    </rPh>
    <rPh sb="18" eb="22">
      <t>ショトクケイサン</t>
    </rPh>
    <rPh sb="23" eb="2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</si>
</sst>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scheme val="minor"/>
    </font>
    <font>
      <u val="double"/>
      <sz val="14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4"/>
      <color theme="1"/>
      <name val="游ゴシック"/>
      <family val="2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2"/>
      <scheme val="minor"/>
    </font>
    <font>
      <sz val="26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3" borderId="4" xfId="0" applyFill="1" applyBorder="1"/>
    <xf numFmtId="0" fontId="3" fillId="3" borderId="4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6" xfId="0" applyFont="1" applyFill="1" applyBorder="1"/>
    <xf numFmtId="0" fontId="2" fillId="0" borderId="0" xfId="0" applyFont="1" applyAlignment="1">
      <alignment horizontal="right"/>
    </xf>
    <xf numFmtId="0" fontId="3" fillId="3" borderId="5" xfId="0" applyFont="1" applyFill="1" applyBorder="1"/>
    <xf numFmtId="0" fontId="3" fillId="3" borderId="6" xfId="0" applyFont="1" applyFill="1" applyBorder="1"/>
    <xf numFmtId="0" fontId="3" fillId="2" borderId="4" xfId="0" applyFont="1" applyFill="1" applyBorder="1"/>
    <xf numFmtId="0" fontId="0" fillId="2" borderId="4" xfId="0" applyFill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Border="1" applyAlignment="1"/>
    <xf numFmtId="0" fontId="9" fillId="0" borderId="0" xfId="0" applyFont="1"/>
    <xf numFmtId="0" fontId="10" fillId="0" borderId="0" xfId="0" applyFont="1"/>
    <xf numFmtId="0" fontId="2" fillId="0" borderId="4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/>
    <xf numFmtId="0" fontId="2" fillId="0" borderId="18" xfId="0" applyFont="1" applyBorder="1"/>
    <xf numFmtId="0" fontId="2" fillId="0" borderId="4" xfId="0" applyFont="1" applyBorder="1" applyAlignment="1">
      <alignment horizontal="right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3" borderId="5" xfId="0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4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4" fillId="3" borderId="4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Protection="1">
      <protection locked="0"/>
    </xf>
    <xf numFmtId="0" fontId="6" fillId="0" borderId="0" xfId="1"/>
    <xf numFmtId="0" fontId="15" fillId="3" borderId="6" xfId="0" applyFont="1" applyFill="1" applyBorder="1"/>
    <xf numFmtId="0" fontId="11" fillId="3" borderId="6" xfId="0" applyFont="1" applyFill="1" applyBorder="1"/>
    <xf numFmtId="0" fontId="13" fillId="2" borderId="4" xfId="0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176" fontId="2" fillId="0" borderId="13" xfId="0" applyNumberFormat="1" applyFont="1" applyBorder="1" applyAlignment="1"/>
    <xf numFmtId="176" fontId="2" fillId="0" borderId="17" xfId="0" applyNumberFormat="1" applyFont="1" applyBorder="1" applyAlignment="1"/>
    <xf numFmtId="176" fontId="2" fillId="0" borderId="14" xfId="0" applyNumberFormat="1" applyFont="1" applyBorder="1" applyAlignment="1"/>
    <xf numFmtId="176" fontId="2" fillId="0" borderId="1" xfId="0" applyNumberFormat="1" applyFont="1" applyBorder="1" applyAlignment="1"/>
    <xf numFmtId="176" fontId="2" fillId="0" borderId="2" xfId="0" applyNumberFormat="1" applyFont="1" applyBorder="1" applyAlignment="1"/>
    <xf numFmtId="176" fontId="2" fillId="0" borderId="3" xfId="0" applyNumberFormat="1" applyFont="1" applyBorder="1" applyAlignment="1"/>
    <xf numFmtId="0" fontId="2" fillId="0" borderId="0" xfId="0" applyFont="1"/>
    <xf numFmtId="176" fontId="2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76" fontId="2" fillId="0" borderId="3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4" borderId="11" xfId="1" applyFill="1" applyBorder="1" applyAlignment="1">
      <alignment vertical="center"/>
    </xf>
    <xf numFmtId="0" fontId="6" fillId="4" borderId="12" xfId="1" applyFill="1" applyBorder="1" applyAlignment="1">
      <alignment vertical="center"/>
    </xf>
    <xf numFmtId="0" fontId="0" fillId="3" borderId="4" xfId="0" applyFill="1" applyBorder="1" applyAlignment="1" applyProtection="1">
      <alignment shrinkToFi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176" fontId="2" fillId="2" borderId="1" xfId="0" applyNumberFormat="1" applyFont="1" applyFill="1" applyBorder="1" applyAlignment="1" applyProtection="1">
      <alignment horizontal="center"/>
      <protection locked="0"/>
    </xf>
    <xf numFmtId="176" fontId="2" fillId="2" borderId="2" xfId="0" applyNumberFormat="1" applyFont="1" applyFill="1" applyBorder="1" applyAlignment="1" applyProtection="1">
      <alignment horizontal="center"/>
      <protection locked="0"/>
    </xf>
    <xf numFmtId="176" fontId="2" fillId="2" borderId="3" xfId="0" applyNumberFormat="1" applyFont="1" applyFill="1" applyBorder="1" applyAlignment="1" applyProtection="1">
      <alignment horizontal="center"/>
      <protection locked="0"/>
    </xf>
    <xf numFmtId="0" fontId="6" fillId="0" borderId="0" xfId="1" applyAlignment="1">
      <alignment horizontal="left"/>
    </xf>
    <xf numFmtId="0" fontId="13" fillId="3" borderId="4" xfId="0" applyFont="1" applyFill="1" applyBorder="1" applyAlignment="1" applyProtection="1">
      <alignment shrinkToFit="1"/>
      <protection locked="0"/>
    </xf>
    <xf numFmtId="0" fontId="14" fillId="3" borderId="4" xfId="0" applyFont="1" applyFill="1" applyBorder="1" applyAlignment="1" applyProtection="1">
      <alignment shrinkToFit="1"/>
      <protection locked="0"/>
    </xf>
    <xf numFmtId="176" fontId="15" fillId="3" borderId="4" xfId="0" applyNumberFormat="1" applyFont="1" applyFill="1" applyBorder="1" applyProtection="1">
      <protection locked="0"/>
    </xf>
    <xf numFmtId="176" fontId="15" fillId="2" borderId="4" xfId="0" applyNumberFormat="1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176" fontId="15" fillId="2" borderId="1" xfId="0" applyNumberFormat="1" applyFont="1" applyFill="1" applyBorder="1" applyAlignment="1" applyProtection="1">
      <alignment horizontal="center"/>
      <protection locked="0"/>
    </xf>
    <xf numFmtId="176" fontId="15" fillId="2" borderId="2" xfId="0" applyNumberFormat="1" applyFont="1" applyFill="1" applyBorder="1" applyAlignment="1" applyProtection="1">
      <alignment horizontal="center"/>
      <protection locked="0"/>
    </xf>
    <xf numFmtId="176" fontId="15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3" borderId="4" xfId="0" applyFont="1" applyFill="1" applyBorder="1" applyAlignment="1">
      <alignment shrinkToFit="1"/>
    </xf>
    <xf numFmtId="0" fontId="3" fillId="3" borderId="4" xfId="0" applyFont="1" applyFill="1" applyBorder="1"/>
    <xf numFmtId="0" fontId="3" fillId="2" borderId="4" xfId="0" applyFont="1" applyFill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321367</xdr:colOff>
      <xdr:row>18</xdr:row>
      <xdr:rowOff>147432</xdr:rowOff>
    </xdr:from>
    <xdr:to>
      <xdr:col>3</xdr:col>
      <xdr:colOff>301486</xdr:colOff>
      <xdr:row>26</xdr:row>
      <xdr:rowOff>8282</xdr:rowOff>
    </xdr:to>
    <xdr:sp macro="" textlink="">
      <xdr:nvSpPr>
        <xdr:cNvPr id="4" name="上矢印 3"/>
        <xdr:cNvSpPr/>
      </xdr:nvSpPr>
      <xdr:spPr>
        <a:xfrm>
          <a:off x="1696280" y="6019802"/>
          <a:ext cx="667576" cy="2312502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１つ選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択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必須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402536</xdr:colOff>
      <xdr:row>18</xdr:row>
      <xdr:rowOff>145776</xdr:rowOff>
    </xdr:from>
    <xdr:to>
      <xdr:col>8</xdr:col>
      <xdr:colOff>382656</xdr:colOff>
      <xdr:row>26</xdr:row>
      <xdr:rowOff>0</xdr:rowOff>
    </xdr:to>
    <xdr:sp macro="" textlink="">
      <xdr:nvSpPr>
        <xdr:cNvPr id="6" name="上矢印 5"/>
        <xdr:cNvSpPr/>
      </xdr:nvSpPr>
      <xdr:spPr>
        <a:xfrm>
          <a:off x="5214732" y="6018146"/>
          <a:ext cx="667576" cy="2305876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手入力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必須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9941</xdr:colOff>
      <xdr:row>18</xdr:row>
      <xdr:rowOff>159027</xdr:rowOff>
    </xdr:from>
    <xdr:to>
      <xdr:col>4</xdr:col>
      <xdr:colOff>677517</xdr:colOff>
      <xdr:row>25</xdr:row>
      <xdr:rowOff>298174</xdr:rowOff>
    </xdr:to>
    <xdr:sp macro="" textlink="">
      <xdr:nvSpPr>
        <xdr:cNvPr id="7" name="上矢印 6"/>
        <xdr:cNvSpPr/>
      </xdr:nvSpPr>
      <xdr:spPr>
        <a:xfrm>
          <a:off x="2759767" y="6031397"/>
          <a:ext cx="667576" cy="2284342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加入者に〇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必須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8281</xdr:colOff>
      <xdr:row>18</xdr:row>
      <xdr:rowOff>140804</xdr:rowOff>
    </xdr:from>
    <xdr:to>
      <xdr:col>9</xdr:col>
      <xdr:colOff>675858</xdr:colOff>
      <xdr:row>25</xdr:row>
      <xdr:rowOff>306456</xdr:rowOff>
    </xdr:to>
    <xdr:sp macro="" textlink="">
      <xdr:nvSpPr>
        <xdr:cNvPr id="8" name="上矢印 7"/>
        <xdr:cNvSpPr/>
      </xdr:nvSpPr>
      <xdr:spPr>
        <a:xfrm>
          <a:off x="6195390" y="6013174"/>
          <a:ext cx="667577" cy="2310847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該当する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場合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〇</a:t>
          </a:r>
        </a:p>
      </xdr:txBody>
    </xdr:sp>
    <xdr:clientData/>
  </xdr:twoCellAnchor>
  <xdr:twoCellAnchor>
    <xdr:from>
      <xdr:col>5</xdr:col>
      <xdr:colOff>217006</xdr:colOff>
      <xdr:row>18</xdr:row>
      <xdr:rowOff>167310</xdr:rowOff>
    </xdr:from>
    <xdr:to>
      <xdr:col>6</xdr:col>
      <xdr:colOff>197126</xdr:colOff>
      <xdr:row>26</xdr:row>
      <xdr:rowOff>0</xdr:rowOff>
    </xdr:to>
    <xdr:sp macro="" textlink="">
      <xdr:nvSpPr>
        <xdr:cNvPr id="9" name="上矢印 8"/>
        <xdr:cNvSpPr/>
      </xdr:nvSpPr>
      <xdr:spPr>
        <a:xfrm>
          <a:off x="3654289" y="6039680"/>
          <a:ext cx="667576" cy="2284342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加入者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は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１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つ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選択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376029</xdr:colOff>
      <xdr:row>18</xdr:row>
      <xdr:rowOff>152400</xdr:rowOff>
    </xdr:from>
    <xdr:to>
      <xdr:col>11</xdr:col>
      <xdr:colOff>356149</xdr:colOff>
      <xdr:row>26</xdr:row>
      <xdr:rowOff>11595</xdr:rowOff>
    </xdr:to>
    <xdr:sp macro="" textlink="">
      <xdr:nvSpPr>
        <xdr:cNvPr id="10" name="上矢印 9"/>
        <xdr:cNvSpPr/>
      </xdr:nvSpPr>
      <xdr:spPr>
        <a:xfrm>
          <a:off x="7250594" y="6024770"/>
          <a:ext cx="667577" cy="2310847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該当する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場合手入力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321367</xdr:colOff>
      <xdr:row>18</xdr:row>
      <xdr:rowOff>147432</xdr:rowOff>
    </xdr:from>
    <xdr:to>
      <xdr:col>3</xdr:col>
      <xdr:colOff>301486</xdr:colOff>
      <xdr:row>26</xdr:row>
      <xdr:rowOff>8282</xdr:rowOff>
    </xdr:to>
    <xdr:sp macro="" textlink="">
      <xdr:nvSpPr>
        <xdr:cNvPr id="2" name="上矢印 1"/>
        <xdr:cNvSpPr/>
      </xdr:nvSpPr>
      <xdr:spPr>
        <a:xfrm>
          <a:off x="1692967" y="5976732"/>
          <a:ext cx="665919" cy="2299250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１つ選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択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必須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402536</xdr:colOff>
      <xdr:row>18</xdr:row>
      <xdr:rowOff>145776</xdr:rowOff>
    </xdr:from>
    <xdr:to>
      <xdr:col>8</xdr:col>
      <xdr:colOff>382656</xdr:colOff>
      <xdr:row>26</xdr:row>
      <xdr:rowOff>0</xdr:rowOff>
    </xdr:to>
    <xdr:sp macro="" textlink="">
      <xdr:nvSpPr>
        <xdr:cNvPr id="3" name="上矢印 2"/>
        <xdr:cNvSpPr/>
      </xdr:nvSpPr>
      <xdr:spPr>
        <a:xfrm>
          <a:off x="5203136" y="5975076"/>
          <a:ext cx="665920" cy="2292624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手入力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必須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9941</xdr:colOff>
      <xdr:row>18</xdr:row>
      <xdr:rowOff>159027</xdr:rowOff>
    </xdr:from>
    <xdr:to>
      <xdr:col>4</xdr:col>
      <xdr:colOff>677517</xdr:colOff>
      <xdr:row>25</xdr:row>
      <xdr:rowOff>298174</xdr:rowOff>
    </xdr:to>
    <xdr:sp macro="" textlink="">
      <xdr:nvSpPr>
        <xdr:cNvPr id="4" name="上矢印 3"/>
        <xdr:cNvSpPr/>
      </xdr:nvSpPr>
      <xdr:spPr>
        <a:xfrm>
          <a:off x="2753141" y="5988327"/>
          <a:ext cx="667576" cy="2272747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加入者に〇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必須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8281</xdr:colOff>
      <xdr:row>18</xdr:row>
      <xdr:rowOff>140804</xdr:rowOff>
    </xdr:from>
    <xdr:to>
      <xdr:col>9</xdr:col>
      <xdr:colOff>675858</xdr:colOff>
      <xdr:row>25</xdr:row>
      <xdr:rowOff>306456</xdr:rowOff>
    </xdr:to>
    <xdr:sp macro="" textlink="">
      <xdr:nvSpPr>
        <xdr:cNvPr id="5" name="上矢印 4"/>
        <xdr:cNvSpPr/>
      </xdr:nvSpPr>
      <xdr:spPr>
        <a:xfrm>
          <a:off x="6180481" y="5970104"/>
          <a:ext cx="667577" cy="2299252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該当する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場合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〇</a:t>
          </a:r>
        </a:p>
      </xdr:txBody>
    </xdr:sp>
    <xdr:clientData/>
  </xdr:twoCellAnchor>
  <xdr:twoCellAnchor>
    <xdr:from>
      <xdr:col>5</xdr:col>
      <xdr:colOff>217006</xdr:colOff>
      <xdr:row>18</xdr:row>
      <xdr:rowOff>167310</xdr:rowOff>
    </xdr:from>
    <xdr:to>
      <xdr:col>6</xdr:col>
      <xdr:colOff>197126</xdr:colOff>
      <xdr:row>26</xdr:row>
      <xdr:rowOff>0</xdr:rowOff>
    </xdr:to>
    <xdr:sp macro="" textlink="">
      <xdr:nvSpPr>
        <xdr:cNvPr id="6" name="上矢印 5"/>
        <xdr:cNvSpPr/>
      </xdr:nvSpPr>
      <xdr:spPr>
        <a:xfrm>
          <a:off x="3646006" y="5996610"/>
          <a:ext cx="665920" cy="2271090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加入者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は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１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つ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選択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376029</xdr:colOff>
      <xdr:row>18</xdr:row>
      <xdr:rowOff>152400</xdr:rowOff>
    </xdr:from>
    <xdr:to>
      <xdr:col>11</xdr:col>
      <xdr:colOff>356149</xdr:colOff>
      <xdr:row>26</xdr:row>
      <xdr:rowOff>11595</xdr:rowOff>
    </xdr:to>
    <xdr:sp macro="" textlink="">
      <xdr:nvSpPr>
        <xdr:cNvPr id="7" name="上矢印 6"/>
        <xdr:cNvSpPr/>
      </xdr:nvSpPr>
      <xdr:spPr>
        <a:xfrm>
          <a:off x="7234029" y="5981700"/>
          <a:ext cx="665920" cy="2297595"/>
        </a:xfrm>
        <a:prstGeom prst="upArrow">
          <a:avLst>
            <a:gd name="adj1" fmla="val 50000"/>
            <a:gd name="adj2" fmla="val 714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該当する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場合手入力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3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4.vml" Type="http://schemas.openxmlformats.org/officeDocument/2006/relationships/vmlDrawing"/><Relationship Id="rId3" Target="../comments4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4"/>
  <sheetViews>
    <sheetView tabSelected="1" zoomScaleNormal="100" zoomScaleSheetLayoutView="100" workbookViewId="0">
      <selection activeCell="X11" sqref="X11"/>
    </sheetView>
  </sheetViews>
  <sheetFormatPr defaultRowHeight="24"/>
  <cols>
    <col min="1" max="4" width="9" style="1"/>
    <col min="5" max="5" width="9" style="8"/>
    <col min="6" max="9" width="9" style="1"/>
    <col min="10" max="10" width="9" style="8"/>
    <col min="11" max="12" width="9" style="1"/>
    <col min="13" max="20" width="9" style="1" hidden="1" customWidth="1"/>
    <col min="21" max="16384" width="9" style="1"/>
  </cols>
  <sheetData>
    <row r="1" spans="1:18" customFormat="1" ht="42.75">
      <c r="A1" s="53" t="s">
        <v>137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8" customFormat="1" ht="18.75">
      <c r="E2" s="3"/>
      <c r="J2" s="3"/>
    </row>
    <row r="3" spans="1:18" customFormat="1">
      <c r="A3" s="4" t="s">
        <v>26</v>
      </c>
      <c r="E3" s="3"/>
      <c r="J3" s="3"/>
    </row>
    <row r="4" spans="1:18" customFormat="1" ht="18.75">
      <c r="E4" s="3"/>
      <c r="J4" s="3"/>
    </row>
    <row r="5" spans="1:18" customFormat="1">
      <c r="A5" s="1" t="s">
        <v>130</v>
      </c>
      <c r="C5" s="3"/>
      <c r="E5" s="3"/>
      <c r="I5" s="39" t="s">
        <v>131</v>
      </c>
      <c r="J5" s="3"/>
    </row>
    <row r="6" spans="1:18" customFormat="1">
      <c r="A6" s="1"/>
      <c r="B6" s="5" t="s">
        <v>0</v>
      </c>
      <c r="C6" s="3"/>
      <c r="E6" s="14" t="s">
        <v>12</v>
      </c>
      <c r="J6" s="3"/>
    </row>
    <row r="7" spans="1:18" customFormat="1" ht="18.75">
      <c r="E7" s="3"/>
      <c r="J7" s="3"/>
    </row>
    <row r="8" spans="1:18" customFormat="1">
      <c r="A8" s="1" t="s">
        <v>34</v>
      </c>
      <c r="E8" s="3"/>
      <c r="J8" s="3"/>
    </row>
    <row r="9" spans="1:18" ht="48" customHeight="1">
      <c r="A9" s="65"/>
      <c r="B9" s="66"/>
      <c r="C9" s="69" t="s">
        <v>9</v>
      </c>
      <c r="D9" s="69"/>
      <c r="E9" s="52" t="s">
        <v>10</v>
      </c>
      <c r="F9" s="58" t="s">
        <v>23</v>
      </c>
      <c r="G9" s="59"/>
      <c r="H9" s="71" t="s">
        <v>150</v>
      </c>
      <c r="I9" s="72"/>
      <c r="J9" s="52" t="s">
        <v>11</v>
      </c>
      <c r="K9" s="52" t="s">
        <v>149</v>
      </c>
      <c r="L9" s="52"/>
      <c r="M9" s="1" t="s">
        <v>13</v>
      </c>
      <c r="P9" s="1" t="s">
        <v>20</v>
      </c>
      <c r="R9" s="1" t="s">
        <v>25</v>
      </c>
    </row>
    <row r="10" spans="1:18" customFormat="1" ht="24" customHeight="1">
      <c r="A10" s="67"/>
      <c r="B10" s="68"/>
      <c r="C10" s="69"/>
      <c r="D10" s="69"/>
      <c r="E10" s="52"/>
      <c r="F10" s="60"/>
      <c r="G10" s="61"/>
      <c r="H10" s="62" t="s">
        <v>21</v>
      </c>
      <c r="I10" s="63"/>
      <c r="J10" s="52"/>
      <c r="K10" s="52"/>
      <c r="L10" s="52"/>
    </row>
    <row r="11" spans="1:18">
      <c r="A11" s="70" t="s">
        <v>1</v>
      </c>
      <c r="B11" s="70"/>
      <c r="C11" s="64"/>
      <c r="D11" s="64"/>
      <c r="E11" s="28"/>
      <c r="F11" s="29"/>
      <c r="G11" s="9" t="s">
        <v>24</v>
      </c>
      <c r="H11" s="73"/>
      <c r="I11" s="73"/>
      <c r="J11" s="30"/>
      <c r="K11" s="51"/>
      <c r="L11" s="51"/>
      <c r="M11" s="1" t="s">
        <v>19</v>
      </c>
      <c r="P11" s="1" t="s">
        <v>17</v>
      </c>
      <c r="R11" s="1">
        <v>1</v>
      </c>
    </row>
    <row r="12" spans="1:18">
      <c r="A12" s="70" t="s">
        <v>2</v>
      </c>
      <c r="B12" s="70"/>
      <c r="C12" s="64"/>
      <c r="D12" s="64"/>
      <c r="E12" s="28"/>
      <c r="F12" s="29"/>
      <c r="G12" s="9" t="s">
        <v>24</v>
      </c>
      <c r="H12" s="73"/>
      <c r="I12" s="73"/>
      <c r="J12" s="30"/>
      <c r="K12" s="51"/>
      <c r="L12" s="51"/>
      <c r="M12" s="1" t="s">
        <v>14</v>
      </c>
      <c r="P12" s="1" t="s">
        <v>18</v>
      </c>
      <c r="R12" s="1">
        <v>2</v>
      </c>
    </row>
    <row r="13" spans="1:18">
      <c r="A13" s="70" t="s">
        <v>3</v>
      </c>
      <c r="B13" s="70"/>
      <c r="C13" s="64"/>
      <c r="D13" s="64"/>
      <c r="E13" s="28"/>
      <c r="F13" s="29"/>
      <c r="G13" s="9" t="s">
        <v>24</v>
      </c>
      <c r="H13" s="73"/>
      <c r="I13" s="73"/>
      <c r="J13" s="30"/>
      <c r="K13" s="51"/>
      <c r="L13" s="51"/>
      <c r="M13" s="1" t="s">
        <v>15</v>
      </c>
      <c r="R13" s="1">
        <v>3</v>
      </c>
    </row>
    <row r="14" spans="1:18">
      <c r="A14" s="70" t="s">
        <v>4</v>
      </c>
      <c r="B14" s="70"/>
      <c r="C14" s="64"/>
      <c r="D14" s="64"/>
      <c r="E14" s="28"/>
      <c r="F14" s="29"/>
      <c r="G14" s="9" t="s">
        <v>24</v>
      </c>
      <c r="H14" s="73"/>
      <c r="I14" s="73"/>
      <c r="J14" s="30"/>
      <c r="K14" s="51"/>
      <c r="L14" s="51"/>
      <c r="M14" s="1" t="s">
        <v>16</v>
      </c>
      <c r="R14" s="1">
        <v>4</v>
      </c>
    </row>
    <row r="15" spans="1:18">
      <c r="A15" s="70" t="s">
        <v>5</v>
      </c>
      <c r="B15" s="70"/>
      <c r="C15" s="64"/>
      <c r="D15" s="64"/>
      <c r="E15" s="28"/>
      <c r="F15" s="29"/>
      <c r="G15" s="9" t="s">
        <v>24</v>
      </c>
      <c r="H15" s="73"/>
      <c r="I15" s="73"/>
      <c r="J15" s="30"/>
      <c r="K15" s="51"/>
      <c r="L15" s="51"/>
      <c r="M15" s="1" t="s">
        <v>133</v>
      </c>
      <c r="R15" s="1">
        <v>5</v>
      </c>
    </row>
    <row r="16" spans="1:18">
      <c r="A16" s="70" t="s">
        <v>6</v>
      </c>
      <c r="B16" s="70"/>
      <c r="C16" s="64"/>
      <c r="D16" s="64"/>
      <c r="E16" s="28"/>
      <c r="F16" s="29"/>
      <c r="G16" s="9" t="s">
        <v>24</v>
      </c>
      <c r="H16" s="73"/>
      <c r="I16" s="73"/>
      <c r="J16" s="30"/>
      <c r="K16" s="51"/>
      <c r="L16" s="51"/>
      <c r="R16" s="1">
        <v>6</v>
      </c>
    </row>
    <row r="17" spans="1:18">
      <c r="A17" s="70" t="s">
        <v>7</v>
      </c>
      <c r="B17" s="70"/>
      <c r="C17" s="64"/>
      <c r="D17" s="64"/>
      <c r="E17" s="28"/>
      <c r="F17" s="29"/>
      <c r="G17" s="9" t="s">
        <v>24</v>
      </c>
      <c r="H17" s="73"/>
      <c r="I17" s="73"/>
      <c r="J17" s="30"/>
      <c r="K17" s="51"/>
      <c r="L17" s="51"/>
      <c r="R17" s="1">
        <v>7</v>
      </c>
    </row>
    <row r="18" spans="1:18">
      <c r="A18" s="70" t="s">
        <v>8</v>
      </c>
      <c r="B18" s="70"/>
      <c r="C18" s="64"/>
      <c r="D18" s="64"/>
      <c r="E18" s="28"/>
      <c r="F18" s="29"/>
      <c r="G18" s="9" t="s">
        <v>24</v>
      </c>
      <c r="H18" s="73"/>
      <c r="I18" s="73"/>
      <c r="J18" s="30"/>
      <c r="K18" s="51"/>
      <c r="L18" s="51"/>
      <c r="R18" s="1">
        <v>8</v>
      </c>
    </row>
    <row r="19" spans="1:18">
      <c r="R19" s="1">
        <v>9</v>
      </c>
    </row>
    <row r="20" spans="1:18">
      <c r="R20" s="1">
        <v>10</v>
      </c>
    </row>
    <row r="21" spans="1:18">
      <c r="R21" s="1">
        <v>11</v>
      </c>
    </row>
    <row r="22" spans="1:18">
      <c r="R22" s="1">
        <v>12</v>
      </c>
    </row>
    <row r="28" spans="1:18" ht="24.75" thickBot="1">
      <c r="A28" s="1" t="s">
        <v>28</v>
      </c>
    </row>
    <row r="29" spans="1:18" ht="24.75" thickBot="1">
      <c r="B29" s="1" t="s">
        <v>29</v>
      </c>
      <c r="C29" s="56">
        <f>税額計算用!D37</f>
        <v>0</v>
      </c>
      <c r="D29" s="57"/>
      <c r="E29" s="8" t="s">
        <v>30</v>
      </c>
      <c r="G29" s="1" t="s">
        <v>31</v>
      </c>
      <c r="J29" s="56" t="e">
        <f>税額計算用!C39</f>
        <v>#DIV/0!</v>
      </c>
      <c r="K29" s="57"/>
      <c r="L29" s="1" t="s">
        <v>30</v>
      </c>
    </row>
    <row r="30" spans="1:18">
      <c r="F30" s="10"/>
    </row>
    <row r="31" spans="1:18" ht="24.75" hidden="1" thickBot="1">
      <c r="B31" s="1" t="s">
        <v>32</v>
      </c>
    </row>
    <row r="32" spans="1:18" ht="24.75" hidden="1" thickBot="1">
      <c r="B32" s="50" t="s">
        <v>58</v>
      </c>
      <c r="C32" s="50"/>
      <c r="D32" s="50"/>
      <c r="E32" s="50"/>
      <c r="F32" s="44">
        <f>税額計算用!D35</f>
        <v>0</v>
      </c>
      <c r="G32" s="45"/>
      <c r="H32" s="46"/>
      <c r="I32" s="1" t="s">
        <v>30</v>
      </c>
    </row>
    <row r="33" spans="2:9" ht="24.75" hidden="1" thickBot="1">
      <c r="B33" s="50" t="s">
        <v>33</v>
      </c>
      <c r="C33" s="50"/>
      <c r="D33" s="50"/>
      <c r="E33" s="50"/>
      <c r="F33" s="47">
        <f>税額計算用!D36</f>
        <v>0</v>
      </c>
      <c r="G33" s="48"/>
      <c r="H33" s="49"/>
      <c r="I33" s="1" t="s">
        <v>30</v>
      </c>
    </row>
    <row r="34" spans="2:9">
      <c r="B34" s="50"/>
      <c r="C34" s="50"/>
      <c r="D34" s="50"/>
      <c r="E34" s="50"/>
      <c r="F34" s="18"/>
    </row>
  </sheetData>
  <sheetProtection algorithmName="SHA-512" hashValue="X1BXPWaSsGHjh4itSrrkWuje4HcOPVscRA4dohiL3G33qUGw+HQ/BHoEFZBzn/gny3G15KzTU1QdWl+yQ5106A==" saltValue="C1dJcyNXgPxpLKba01cDSQ==" spinCount="100000" sheet="1" objects="1" scenarios="1"/>
  <mergeCells count="48">
    <mergeCell ref="H15:I15"/>
    <mergeCell ref="H16:I16"/>
    <mergeCell ref="H17:I17"/>
    <mergeCell ref="H18:I18"/>
    <mergeCell ref="A13:B13"/>
    <mergeCell ref="A14:B14"/>
    <mergeCell ref="A15:B15"/>
    <mergeCell ref="A16:B16"/>
    <mergeCell ref="A17:B17"/>
    <mergeCell ref="A18:B18"/>
    <mergeCell ref="C17:D17"/>
    <mergeCell ref="C18:D18"/>
    <mergeCell ref="C13:D13"/>
    <mergeCell ref="C14:D14"/>
    <mergeCell ref="C15:D15"/>
    <mergeCell ref="H9:I9"/>
    <mergeCell ref="H11:I11"/>
    <mergeCell ref="H12:I12"/>
    <mergeCell ref="H13:I13"/>
    <mergeCell ref="H14:I14"/>
    <mergeCell ref="A9:B10"/>
    <mergeCell ref="C9:D10"/>
    <mergeCell ref="E9:E10"/>
    <mergeCell ref="C11:D11"/>
    <mergeCell ref="C12:D12"/>
    <mergeCell ref="A11:B11"/>
    <mergeCell ref="A12:B12"/>
    <mergeCell ref="K17:L17"/>
    <mergeCell ref="K18:L18"/>
    <mergeCell ref="K9:L10"/>
    <mergeCell ref="A1:L1"/>
    <mergeCell ref="C29:D29"/>
    <mergeCell ref="J29:K29"/>
    <mergeCell ref="K11:L11"/>
    <mergeCell ref="K12:L12"/>
    <mergeCell ref="K13:L13"/>
    <mergeCell ref="K14:L14"/>
    <mergeCell ref="K15:L15"/>
    <mergeCell ref="K16:L16"/>
    <mergeCell ref="F9:G10"/>
    <mergeCell ref="H10:I10"/>
    <mergeCell ref="J9:J10"/>
    <mergeCell ref="C16:D16"/>
    <mergeCell ref="F32:H32"/>
    <mergeCell ref="F33:H33"/>
    <mergeCell ref="B32:E32"/>
    <mergeCell ref="B33:E33"/>
    <mergeCell ref="B34:E34"/>
  </mergeCells>
  <phoneticPr fontId="1"/>
  <dataValidations count="4">
    <dataValidation type="list" allowBlank="1" showInputMessage="1" showErrorMessage="1" sqref="J11:J18 E11:E18">
      <formula1>$P$11:$P$12</formula1>
    </dataValidation>
    <dataValidation type="list" allowBlank="1" showInputMessage="1" showErrorMessage="1" sqref="F11:F18">
      <formula1>$R$11:$R$22</formula1>
    </dataValidation>
    <dataValidation type="list" allowBlank="1" showInputMessage="1" showErrorMessage="1" sqref="C12:D18">
      <formula1>$M$11:$M$14</formula1>
    </dataValidation>
    <dataValidation type="list" allowBlank="1" showInputMessage="1" showErrorMessage="1" sqref="C11:D11">
      <formula1>$M$11:$M$15</formula1>
    </dataValidation>
  </dataValidations>
  <hyperlinks>
    <hyperlink ref="H10:I10" location="所得計算!A1" display="※所得計算はこちら"/>
    <hyperlink ref="I5" location="'試算表 (例)'!A1" display="※入力例"/>
  </hyperlinks>
  <pageMargins left="0.25" right="0.25" top="0.75" bottom="0.75" header="0.3" footer="0.3"/>
  <pageSetup paperSize="9" scale="84" orientation="portrait" horizontalDpi="4294967294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zoomScaleNormal="100" zoomScaleSheetLayoutView="100" workbookViewId="0">
      <selection activeCell="H8" sqref="H8"/>
    </sheetView>
  </sheetViews>
  <sheetFormatPr defaultRowHeight="24"/>
  <cols>
    <col min="1" max="12" width="9" style="1"/>
    <col min="13" max="13" width="9" style="1" hidden="1" customWidth="1"/>
    <col min="14" max="14" width="26.25" style="1" hidden="1" customWidth="1"/>
    <col min="15" max="15" width="9" style="1" hidden="1" customWidth="1"/>
    <col min="16" max="16" width="9" style="22" hidden="1" customWidth="1"/>
    <col min="17" max="17" width="39.5" style="1" hidden="1" customWidth="1"/>
    <col min="18" max="18" width="21.625" style="1" hidden="1" customWidth="1"/>
    <col min="19" max="19" width="24.75" style="1" hidden="1" customWidth="1"/>
    <col min="20" max="16384" width="9" style="1"/>
  </cols>
  <sheetData>
    <row r="1" spans="1:19" customFormat="1" ht="42.75">
      <c r="A1" s="53" t="s">
        <v>138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  <c r="N1" s="22"/>
      <c r="O1" s="22"/>
      <c r="P1" s="22"/>
      <c r="Q1" s="22"/>
      <c r="R1" s="22"/>
      <c r="S1" s="22"/>
    </row>
    <row r="2" spans="1:19" ht="24.75" thickBot="1">
      <c r="N2" s="22"/>
      <c r="O2" s="22"/>
      <c r="Q2" s="22" t="s">
        <v>108</v>
      </c>
      <c r="R2" s="22"/>
      <c r="S2" s="22"/>
    </row>
    <row r="3" spans="1:19" ht="24.75" thickBot="1">
      <c r="A3" s="1" t="s">
        <v>139</v>
      </c>
      <c r="K3" s="81" t="s">
        <v>132</v>
      </c>
      <c r="L3" s="81"/>
      <c r="N3" s="22"/>
      <c r="O3" s="22"/>
      <c r="Q3" s="25">
        <f>Q5+Q7-100000</f>
        <v>-100000</v>
      </c>
      <c r="R3" s="22"/>
      <c r="S3" s="22"/>
    </row>
    <row r="4" spans="1:19">
      <c r="N4" s="22"/>
      <c r="O4" s="22"/>
      <c r="Q4" s="1" t="s">
        <v>109</v>
      </c>
      <c r="R4" s="22"/>
      <c r="S4" s="22"/>
    </row>
    <row r="5" spans="1:19" ht="24.75" thickBot="1">
      <c r="A5" s="22"/>
      <c r="B5" s="22" t="s">
        <v>94</v>
      </c>
      <c r="C5" s="22"/>
      <c r="D5" s="22"/>
      <c r="E5" s="22" t="s">
        <v>96</v>
      </c>
      <c r="F5" s="22"/>
      <c r="G5" s="22"/>
      <c r="H5" s="22" t="s">
        <v>97</v>
      </c>
      <c r="I5" s="22"/>
      <c r="J5" s="22"/>
      <c r="K5" s="22" t="s">
        <v>99</v>
      </c>
      <c r="L5" s="22"/>
      <c r="N5" s="22" t="s">
        <v>107</v>
      </c>
      <c r="O5" s="22"/>
      <c r="Q5" s="1">
        <f>IF(B6&lt;100000,B6,100000)</f>
        <v>0</v>
      </c>
      <c r="R5" s="22"/>
      <c r="S5" s="22"/>
    </row>
    <row r="6" spans="1:19" ht="24.75" thickBot="1">
      <c r="A6" s="22"/>
      <c r="B6" s="78"/>
      <c r="C6" s="80"/>
      <c r="D6" s="23" t="s">
        <v>95</v>
      </c>
      <c r="E6" s="78"/>
      <c r="F6" s="80"/>
      <c r="G6" s="23" t="s">
        <v>95</v>
      </c>
      <c r="H6" s="78"/>
      <c r="I6" s="80"/>
      <c r="J6" s="23" t="s">
        <v>98</v>
      </c>
      <c r="K6" s="56">
        <f>N6</f>
        <v>0</v>
      </c>
      <c r="L6" s="57"/>
      <c r="N6" s="25">
        <f>IF(AND(B6&gt;0,E6&gt;0),
IF(SUM(B6,E6)&gt;99999,SUM(B6,E6,H6)-Q3,
SUM(B6,E6,H6)),SUM(B6,E6,H6))</f>
        <v>0</v>
      </c>
      <c r="O6" s="22"/>
      <c r="Q6" s="22" t="s">
        <v>110</v>
      </c>
      <c r="R6" s="22"/>
      <c r="S6" s="22"/>
    </row>
    <row r="7" spans="1:19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N7" s="22"/>
      <c r="O7" s="22"/>
      <c r="Q7" s="22">
        <f>IF(E6&lt;100000,E6,100000)</f>
        <v>0</v>
      </c>
      <c r="R7" s="22"/>
      <c r="S7" s="22"/>
    </row>
    <row r="8" spans="1:19">
      <c r="A8" s="19" t="s">
        <v>65</v>
      </c>
      <c r="B8" s="20"/>
      <c r="C8" s="20"/>
      <c r="N8" s="22"/>
      <c r="O8" s="22"/>
      <c r="Q8" s="22"/>
      <c r="R8" s="22"/>
      <c r="S8" s="22"/>
    </row>
    <row r="9" spans="1:19">
      <c r="A9" s="1" t="s">
        <v>140</v>
      </c>
      <c r="B9" s="20"/>
      <c r="C9" s="20"/>
      <c r="N9"/>
      <c r="O9"/>
      <c r="P9"/>
      <c r="Q9"/>
      <c r="R9"/>
      <c r="S9"/>
    </row>
    <row r="10" spans="1:19" ht="24.75" thickBot="1">
      <c r="A10" s="1" t="s">
        <v>141</v>
      </c>
      <c r="N10" s="1" t="s">
        <v>78</v>
      </c>
      <c r="P10" s="22" t="s">
        <v>90</v>
      </c>
      <c r="R10" s="10" t="s">
        <v>106</v>
      </c>
    </row>
    <row r="11" spans="1:19" ht="24.75" thickBot="1">
      <c r="A11" s="1" t="s">
        <v>67</v>
      </c>
      <c r="N11" s="25">
        <f>E18</f>
        <v>0</v>
      </c>
      <c r="P11" s="21">
        <v>1</v>
      </c>
      <c r="Q11" s="26" t="s">
        <v>79</v>
      </c>
      <c r="R11" s="21">
        <v>0</v>
      </c>
    </row>
    <row r="12" spans="1:19">
      <c r="A12" s="1" t="s">
        <v>73</v>
      </c>
      <c r="N12" s="23" t="s">
        <v>91</v>
      </c>
      <c r="P12" s="21">
        <v>2</v>
      </c>
      <c r="Q12" s="26" t="s">
        <v>80</v>
      </c>
      <c r="R12" s="21">
        <f>N11-550000</f>
        <v>-550000</v>
      </c>
    </row>
    <row r="13" spans="1:19" ht="24.75" thickBot="1">
      <c r="A13" s="1" t="s">
        <v>142</v>
      </c>
      <c r="B13" s="20"/>
      <c r="C13" s="20"/>
      <c r="N13" s="1" t="s">
        <v>92</v>
      </c>
      <c r="P13" s="21">
        <v>3</v>
      </c>
      <c r="Q13" s="26" t="s">
        <v>81</v>
      </c>
      <c r="R13" s="21">
        <v>1069000</v>
      </c>
    </row>
    <row r="14" spans="1:19" ht="24.75" thickBot="1">
      <c r="A14" s="1" t="s">
        <v>68</v>
      </c>
      <c r="N14" s="25">
        <f>IF(N11&lt;551000,1,
IF(N11&lt;1619000,2,
IF(N11&lt;1620000,3,
IF(N11&lt;1622000,4,
IF(N11&lt;1624000,5,
IF(N11&lt;1628000,6,
IF(N11&lt;1800000,7,
IF(N11&lt;3600000,8,
IF(N11&lt;6600000,9,
IF(N11&lt;8500000,10,11)
)))))))))</f>
        <v>1</v>
      </c>
      <c r="P14" s="21">
        <v>4</v>
      </c>
      <c r="Q14" s="26" t="s">
        <v>82</v>
      </c>
      <c r="R14" s="21">
        <v>1070000</v>
      </c>
    </row>
    <row r="15" spans="1:19">
      <c r="A15" s="1" t="s">
        <v>69</v>
      </c>
      <c r="P15" s="21">
        <v>5</v>
      </c>
      <c r="Q15" s="26" t="s">
        <v>83</v>
      </c>
      <c r="R15" s="21">
        <v>1072000</v>
      </c>
    </row>
    <row r="16" spans="1:19" ht="24.75" thickBot="1">
      <c r="A16" s="1" t="s">
        <v>70</v>
      </c>
      <c r="N16" s="1" t="s">
        <v>93</v>
      </c>
      <c r="P16" s="21">
        <v>6</v>
      </c>
      <c r="Q16" s="26" t="s">
        <v>84</v>
      </c>
      <c r="R16" s="21">
        <v>1074000</v>
      </c>
    </row>
    <row r="17" spans="1:19" ht="24.75" thickBot="1">
      <c r="I17" s="1" t="s">
        <v>119</v>
      </c>
      <c r="N17" s="25">
        <f>ROUNDDOWN(VLOOKUP(N14,P11:R21,3,FALSE),0)</f>
        <v>0</v>
      </c>
      <c r="P17" s="21">
        <v>7</v>
      </c>
      <c r="Q17" s="26" t="s">
        <v>85</v>
      </c>
      <c r="R17" s="21">
        <f>(ROUNDDOWN(N11/4,-3)*2.4)+100000</f>
        <v>100000</v>
      </c>
    </row>
    <row r="18" spans="1:19" ht="24.75" thickBot="1">
      <c r="B18" s="76" t="s">
        <v>72</v>
      </c>
      <c r="C18" s="76"/>
      <c r="D18" s="76"/>
      <c r="E18" s="78"/>
      <c r="F18" s="79"/>
      <c r="G18" s="80"/>
      <c r="I18" s="27"/>
      <c r="J18" s="22"/>
      <c r="P18" s="21">
        <v>8</v>
      </c>
      <c r="Q18" s="26" t="s">
        <v>86</v>
      </c>
      <c r="R18" s="21">
        <f>(ROUNDDOWN(N11/4,-3)*2.8)-80000</f>
        <v>-80000</v>
      </c>
    </row>
    <row r="19" spans="1:19" ht="24.75" thickBot="1">
      <c r="B19" s="8"/>
      <c r="C19" s="8"/>
      <c r="D19" s="8"/>
      <c r="F19" s="8" t="s">
        <v>71</v>
      </c>
      <c r="N19" s="1" t="s">
        <v>100</v>
      </c>
      <c r="P19" s="21">
        <v>9</v>
      </c>
      <c r="Q19" s="26" t="s">
        <v>87</v>
      </c>
      <c r="R19" s="21">
        <f>(ROUNDDOWN(N11/4,-3)*3.2)-440000</f>
        <v>-440000</v>
      </c>
    </row>
    <row r="20" spans="1:19" ht="24.75" thickBot="1">
      <c r="B20" s="76" t="s">
        <v>143</v>
      </c>
      <c r="C20" s="76"/>
      <c r="D20" s="76"/>
      <c r="E20" s="56">
        <f>N23</f>
        <v>0</v>
      </c>
      <c r="F20" s="77"/>
      <c r="G20" s="57"/>
      <c r="N20" s="25">
        <f>IF(E18&lt;8500000,0,
IF(I18="〇",(IF(N11&lt;10000000,N11,10000000)-8500000)*0.1,0))</f>
        <v>0</v>
      </c>
      <c r="P20" s="21">
        <v>10</v>
      </c>
      <c r="Q20" s="26" t="s">
        <v>88</v>
      </c>
      <c r="R20" s="21">
        <f>(N11*0.9)-1100000</f>
        <v>-1100000</v>
      </c>
    </row>
    <row r="21" spans="1:19">
      <c r="P21" s="21">
        <v>11</v>
      </c>
      <c r="Q21" s="26" t="s">
        <v>89</v>
      </c>
      <c r="R21" s="21">
        <f>N11-1950000</f>
        <v>-1950000</v>
      </c>
    </row>
    <row r="22" spans="1:19" ht="24.75" thickBot="1">
      <c r="A22" s="20" t="s">
        <v>66</v>
      </c>
      <c r="N22" s="22" t="s">
        <v>102</v>
      </c>
    </row>
    <row r="23" spans="1:19" ht="24.75" thickBot="1">
      <c r="A23" s="1" t="s">
        <v>142</v>
      </c>
      <c r="B23" s="20"/>
      <c r="C23" s="20"/>
      <c r="N23" s="25">
        <f>N17-N20</f>
        <v>0</v>
      </c>
    </row>
    <row r="24" spans="1:19">
      <c r="A24" s="1" t="s">
        <v>68</v>
      </c>
    </row>
    <row r="25" spans="1:19">
      <c r="A25" s="1" t="s">
        <v>69</v>
      </c>
      <c r="N25" s="1" t="s">
        <v>104</v>
      </c>
    </row>
    <row r="26" spans="1:19">
      <c r="A26" s="1" t="s">
        <v>126</v>
      </c>
      <c r="N26" s="1" t="s">
        <v>101</v>
      </c>
    </row>
    <row r="27" spans="1:19">
      <c r="A27" s="1" t="s">
        <v>144</v>
      </c>
      <c r="N27" s="1" t="s">
        <v>105</v>
      </c>
    </row>
    <row r="28" spans="1:19" ht="24.75" thickBot="1"/>
    <row r="29" spans="1:19" ht="24.75" thickBot="1">
      <c r="B29" s="76" t="s">
        <v>74</v>
      </c>
      <c r="C29" s="76"/>
      <c r="D29" s="76"/>
      <c r="E29" s="78"/>
      <c r="F29" s="79"/>
      <c r="G29" s="80"/>
      <c r="I29" s="1" t="s">
        <v>103</v>
      </c>
      <c r="K29" s="74"/>
      <c r="L29" s="75"/>
      <c r="M29" s="22"/>
      <c r="N29" s="22" t="s">
        <v>120</v>
      </c>
      <c r="P29" s="22" t="s">
        <v>115</v>
      </c>
      <c r="R29" s="1" t="s">
        <v>122</v>
      </c>
      <c r="S29" s="1" t="s">
        <v>123</v>
      </c>
    </row>
    <row r="30" spans="1:19" ht="24.75" thickBot="1">
      <c r="B30" s="8"/>
      <c r="C30" s="8"/>
      <c r="D30" s="8"/>
      <c r="F30" s="8" t="s">
        <v>71</v>
      </c>
      <c r="I30" s="1" t="s">
        <v>145</v>
      </c>
      <c r="N30" s="25">
        <f>E29</f>
        <v>0</v>
      </c>
      <c r="P30" s="21">
        <v>1</v>
      </c>
      <c r="Q30" s="21" t="s">
        <v>124</v>
      </c>
      <c r="R30" s="21">
        <f>N30-1100000</f>
        <v>-1100000</v>
      </c>
      <c r="S30" s="21">
        <f>N30-600000</f>
        <v>-600000</v>
      </c>
    </row>
    <row r="31" spans="1:19" ht="24.75" thickBot="1">
      <c r="B31" s="76" t="s">
        <v>146</v>
      </c>
      <c r="C31" s="76"/>
      <c r="D31" s="76"/>
      <c r="E31" s="56" t="e">
        <f>N36</f>
        <v>#REF!</v>
      </c>
      <c r="F31" s="77"/>
      <c r="G31" s="57"/>
      <c r="N31" s="23" t="s">
        <v>91</v>
      </c>
      <c r="P31" s="21">
        <v>2</v>
      </c>
      <c r="Q31" s="21" t="s">
        <v>125</v>
      </c>
      <c r="R31" s="21">
        <f>N30-1100000</f>
        <v>-1100000</v>
      </c>
      <c r="S31" s="21">
        <f>N30*0.75-275000</f>
        <v>-275000</v>
      </c>
    </row>
    <row r="32" spans="1:19" ht="24.75" thickBot="1">
      <c r="N32" s="22" t="s">
        <v>92</v>
      </c>
      <c r="P32" s="21">
        <v>3</v>
      </c>
      <c r="Q32" s="21" t="s">
        <v>111</v>
      </c>
      <c r="R32" s="21">
        <f>N30*0.75-275000</f>
        <v>-275000</v>
      </c>
      <c r="S32" s="21">
        <f>N30*0.75-275000</f>
        <v>-275000</v>
      </c>
    </row>
    <row r="33" spans="1:19" s="7" customFormat="1" ht="24.75" thickBot="1">
      <c r="A33" s="20" t="s">
        <v>75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25">
        <f>IF(N30&lt;1300000,1,
IF(N30&lt;3300000,2,
IF(N30&lt;4100000,3,
IF(N30&lt;7700000,4,
IF(N30&lt;10000000,5,6)))))</f>
        <v>1</v>
      </c>
      <c r="O33" s="1"/>
      <c r="P33" s="21">
        <v>4</v>
      </c>
      <c r="Q33" s="21" t="s">
        <v>112</v>
      </c>
      <c r="R33" s="21">
        <f>N30*0.85-685000</f>
        <v>-685000</v>
      </c>
      <c r="S33" s="21">
        <f>N30*0.85-685000</f>
        <v>-685000</v>
      </c>
    </row>
    <row r="34" spans="1:19" s="7" customFormat="1">
      <c r="A34" s="1" t="s">
        <v>147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P34" s="21">
        <v>5</v>
      </c>
      <c r="Q34" s="21" t="s">
        <v>113</v>
      </c>
      <c r="R34" s="21">
        <f>N30*0.95-1455000</f>
        <v>-1455000</v>
      </c>
      <c r="S34" s="21">
        <f>N30*0.95-1455000</f>
        <v>-1455000</v>
      </c>
    </row>
    <row r="35" spans="1:19" ht="24.75" thickBot="1">
      <c r="A35" s="1" t="s">
        <v>76</v>
      </c>
      <c r="N35" s="22" t="s">
        <v>93</v>
      </c>
      <c r="P35" s="21">
        <v>6</v>
      </c>
      <c r="Q35" s="21" t="s">
        <v>114</v>
      </c>
      <c r="R35" s="21">
        <f>N30-1955000</f>
        <v>-1955000</v>
      </c>
      <c r="S35" s="21">
        <f>N30-1955000</f>
        <v>-1955000</v>
      </c>
    </row>
    <row r="36" spans="1:19" ht="24.75" thickBot="1">
      <c r="A36" s="7" t="s">
        <v>142</v>
      </c>
      <c r="B36" s="20"/>
      <c r="C36" s="20"/>
      <c r="D36" s="7"/>
      <c r="E36" s="7"/>
      <c r="F36" s="7"/>
      <c r="G36" s="7"/>
      <c r="H36" s="7"/>
      <c r="I36" s="7"/>
      <c r="J36" s="7"/>
      <c r="K36" s="7"/>
      <c r="L36" s="7"/>
      <c r="N36" s="25" t="e">
        <f>IF(ROUNDDOWN(VLOOKUP(N33,P30:S35,R37,FALSE),0)&lt;0,0,
ROUNDDOWN(VLOOKUP(N33,P30:S35,R37,FALSE),0))</f>
        <v>#REF!</v>
      </c>
      <c r="Q36" s="7"/>
      <c r="R36" s="7"/>
      <c r="S36" s="7"/>
    </row>
    <row r="37" spans="1:19">
      <c r="A37" s="7" t="s">
        <v>68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P37" s="22" t="s">
        <v>116</v>
      </c>
      <c r="R37" s="1" t="str">
        <f>IF(K29="65歳以上",3,
IF(K29="65歳未満",4,"error"))</f>
        <v>error</v>
      </c>
    </row>
    <row r="38" spans="1:19">
      <c r="A38" s="1" t="s">
        <v>69</v>
      </c>
      <c r="P38" s="22" t="s">
        <v>117</v>
      </c>
    </row>
    <row r="39" spans="1:19">
      <c r="A39" s="1" t="s">
        <v>77</v>
      </c>
      <c r="P39" s="22" t="s">
        <v>118</v>
      </c>
    </row>
    <row r="41" spans="1:19">
      <c r="N41" s="7"/>
      <c r="O41" s="7"/>
    </row>
    <row r="42" spans="1:19">
      <c r="N42" s="7"/>
      <c r="O42" s="7"/>
    </row>
  </sheetData>
  <mergeCells count="15">
    <mergeCell ref="K29:L29"/>
    <mergeCell ref="B31:D31"/>
    <mergeCell ref="E31:G31"/>
    <mergeCell ref="A1:L1"/>
    <mergeCell ref="B18:D18"/>
    <mergeCell ref="E18:G18"/>
    <mergeCell ref="B20:D20"/>
    <mergeCell ref="E20:G20"/>
    <mergeCell ref="B29:D29"/>
    <mergeCell ref="E29:G29"/>
    <mergeCell ref="B6:C6"/>
    <mergeCell ref="E6:F6"/>
    <mergeCell ref="H6:I6"/>
    <mergeCell ref="K6:L6"/>
    <mergeCell ref="K3:L3"/>
  </mergeCells>
  <phoneticPr fontId="1"/>
  <dataValidations count="2">
    <dataValidation type="list" allowBlank="1" showInputMessage="1" showErrorMessage="1" sqref="I18">
      <formula1>$N$26:$N$27</formula1>
    </dataValidation>
    <dataValidation type="list" allowBlank="1" showInputMessage="1" showErrorMessage="1" sqref="K29">
      <formula1>$P$38:$P$39</formula1>
    </dataValidation>
  </dataValidations>
  <hyperlinks>
    <hyperlink ref="K3" location="'所得計算 (例)'!A1" display="※入力例"/>
  </hyperlinks>
  <pageMargins left="0.7" right="0.7" top="0.75" bottom="0.75" header="0.3" footer="0.3"/>
  <pageSetup paperSize="9" scale="75" orientation="portrait" horizontalDpi="4294967294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4"/>
  <sheetViews>
    <sheetView zoomScaleNormal="100" zoomScaleSheetLayoutView="100" workbookViewId="0">
      <selection activeCell="T13" sqref="T13"/>
    </sheetView>
  </sheetViews>
  <sheetFormatPr defaultRowHeight="24"/>
  <cols>
    <col min="1" max="4" width="9" style="35"/>
    <col min="5" max="5" width="9" style="36"/>
    <col min="6" max="9" width="9" style="35"/>
    <col min="10" max="10" width="9" style="36"/>
    <col min="11" max="12" width="9" style="35"/>
    <col min="13" max="19" width="9" style="35" hidden="1" customWidth="1"/>
    <col min="20" max="20" width="9" style="35" customWidth="1"/>
    <col min="21" max="16384" width="9" style="35"/>
  </cols>
  <sheetData>
    <row r="1" spans="1:18" customFormat="1" ht="42.75">
      <c r="A1" s="53" t="s">
        <v>148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8" customFormat="1" ht="18.75">
      <c r="E2" s="3"/>
      <c r="J2" s="3"/>
    </row>
    <row r="3" spans="1:18" customFormat="1">
      <c r="A3" s="4" t="s">
        <v>26</v>
      </c>
      <c r="E3" s="3"/>
      <c r="J3" s="3"/>
    </row>
    <row r="4" spans="1:18" customFormat="1" ht="18.75">
      <c r="E4" s="3"/>
      <c r="J4" s="3"/>
    </row>
    <row r="5" spans="1:18" customFormat="1">
      <c r="A5" s="35" t="s">
        <v>130</v>
      </c>
      <c r="C5" s="3"/>
      <c r="E5" s="3"/>
      <c r="I5" s="39"/>
      <c r="J5" s="3"/>
    </row>
    <row r="6" spans="1:18" customFormat="1">
      <c r="A6" s="35"/>
      <c r="B6" s="5" t="s">
        <v>0</v>
      </c>
      <c r="C6" s="3"/>
      <c r="E6" s="14" t="s">
        <v>12</v>
      </c>
      <c r="J6" s="3"/>
    </row>
    <row r="7" spans="1:18" customFormat="1" ht="18.75">
      <c r="E7" s="3"/>
      <c r="J7" s="3"/>
    </row>
    <row r="8" spans="1:18" customFormat="1">
      <c r="A8" s="35" t="s">
        <v>34</v>
      </c>
      <c r="E8" s="3"/>
      <c r="J8" s="3"/>
    </row>
    <row r="9" spans="1:18" ht="48" customHeight="1">
      <c r="A9" s="65"/>
      <c r="B9" s="66"/>
      <c r="C9" s="69" t="s">
        <v>9</v>
      </c>
      <c r="D9" s="69"/>
      <c r="E9" s="52" t="s">
        <v>10</v>
      </c>
      <c r="F9" s="58" t="s">
        <v>23</v>
      </c>
      <c r="G9" s="59"/>
      <c r="H9" s="71" t="s">
        <v>150</v>
      </c>
      <c r="I9" s="72"/>
      <c r="J9" s="52" t="s">
        <v>11</v>
      </c>
      <c r="K9" s="52" t="s">
        <v>149</v>
      </c>
      <c r="L9" s="52"/>
      <c r="M9" s="35" t="s">
        <v>13</v>
      </c>
      <c r="P9" s="35" t="s">
        <v>20</v>
      </c>
      <c r="R9" s="35" t="s">
        <v>25</v>
      </c>
    </row>
    <row r="10" spans="1:18" customFormat="1" ht="24" customHeight="1">
      <c r="A10" s="67"/>
      <c r="B10" s="68"/>
      <c r="C10" s="69"/>
      <c r="D10" s="69"/>
      <c r="E10" s="52"/>
      <c r="F10" s="60"/>
      <c r="G10" s="61"/>
      <c r="H10" s="62" t="s">
        <v>21</v>
      </c>
      <c r="I10" s="63"/>
      <c r="J10" s="52"/>
      <c r="K10" s="52"/>
      <c r="L10" s="52"/>
    </row>
    <row r="11" spans="1:18">
      <c r="A11" s="70" t="s">
        <v>1</v>
      </c>
      <c r="B11" s="70"/>
      <c r="C11" s="82" t="s">
        <v>16</v>
      </c>
      <c r="D11" s="83"/>
      <c r="E11" s="37" t="s">
        <v>128</v>
      </c>
      <c r="F11" s="38"/>
      <c r="G11" s="40" t="s">
        <v>24</v>
      </c>
      <c r="H11" s="84">
        <v>2000000</v>
      </c>
      <c r="I11" s="84"/>
      <c r="J11" s="42"/>
      <c r="K11" s="85">
        <v>20000</v>
      </c>
      <c r="L11" s="85"/>
      <c r="M11" s="35" t="s">
        <v>19</v>
      </c>
      <c r="P11" s="35" t="s">
        <v>17</v>
      </c>
      <c r="R11" s="35">
        <v>1</v>
      </c>
    </row>
    <row r="12" spans="1:18">
      <c r="A12" s="70" t="s">
        <v>2</v>
      </c>
      <c r="B12" s="70"/>
      <c r="C12" s="83" t="s">
        <v>16</v>
      </c>
      <c r="D12" s="83"/>
      <c r="E12" s="37" t="s">
        <v>129</v>
      </c>
      <c r="F12" s="38">
        <v>6</v>
      </c>
      <c r="G12" s="41" t="s">
        <v>24</v>
      </c>
      <c r="H12" s="84">
        <v>1050000</v>
      </c>
      <c r="I12" s="84"/>
      <c r="J12" s="42"/>
      <c r="K12" s="85"/>
      <c r="L12" s="85"/>
      <c r="M12" s="35" t="s">
        <v>14</v>
      </c>
      <c r="P12" s="35" t="s">
        <v>18</v>
      </c>
      <c r="R12" s="35">
        <v>2</v>
      </c>
    </row>
    <row r="13" spans="1:18">
      <c r="A13" s="70" t="s">
        <v>3</v>
      </c>
      <c r="B13" s="70"/>
      <c r="C13" s="83" t="s">
        <v>14</v>
      </c>
      <c r="D13" s="83"/>
      <c r="E13" s="37" t="s">
        <v>129</v>
      </c>
      <c r="F13" s="38">
        <v>6</v>
      </c>
      <c r="G13" s="41" t="s">
        <v>24</v>
      </c>
      <c r="H13" s="84">
        <v>0</v>
      </c>
      <c r="I13" s="84"/>
      <c r="J13" s="42"/>
      <c r="K13" s="85"/>
      <c r="L13" s="85"/>
      <c r="M13" s="35" t="s">
        <v>15</v>
      </c>
      <c r="R13" s="35">
        <v>3</v>
      </c>
    </row>
    <row r="14" spans="1:18">
      <c r="A14" s="70" t="s">
        <v>4</v>
      </c>
      <c r="B14" s="70"/>
      <c r="C14" s="83" t="s">
        <v>14</v>
      </c>
      <c r="D14" s="83"/>
      <c r="E14" s="37" t="s">
        <v>129</v>
      </c>
      <c r="F14" s="38">
        <v>6</v>
      </c>
      <c r="G14" s="41" t="s">
        <v>24</v>
      </c>
      <c r="H14" s="84">
        <v>0</v>
      </c>
      <c r="I14" s="84"/>
      <c r="J14" s="42"/>
      <c r="K14" s="85"/>
      <c r="L14" s="85"/>
      <c r="M14" s="35" t="s">
        <v>16</v>
      </c>
      <c r="R14" s="35">
        <v>4</v>
      </c>
    </row>
    <row r="15" spans="1:18">
      <c r="A15" s="70" t="s">
        <v>5</v>
      </c>
      <c r="B15" s="70"/>
      <c r="C15" s="64"/>
      <c r="D15" s="64"/>
      <c r="E15" s="28"/>
      <c r="F15" s="29"/>
      <c r="G15" s="9" t="s">
        <v>24</v>
      </c>
      <c r="H15" s="73"/>
      <c r="I15" s="73"/>
      <c r="J15" s="30"/>
      <c r="K15" s="51"/>
      <c r="L15" s="51"/>
      <c r="R15" s="35">
        <v>5</v>
      </c>
    </row>
    <row r="16" spans="1:18">
      <c r="A16" s="70" t="s">
        <v>6</v>
      </c>
      <c r="B16" s="70"/>
      <c r="C16" s="64"/>
      <c r="D16" s="64"/>
      <c r="E16" s="28"/>
      <c r="F16" s="29"/>
      <c r="G16" s="9" t="s">
        <v>24</v>
      </c>
      <c r="H16" s="73"/>
      <c r="I16" s="73"/>
      <c r="J16" s="30"/>
      <c r="K16" s="51"/>
      <c r="L16" s="51"/>
      <c r="R16" s="35">
        <v>6</v>
      </c>
    </row>
    <row r="17" spans="1:18">
      <c r="A17" s="70" t="s">
        <v>7</v>
      </c>
      <c r="B17" s="70"/>
      <c r="C17" s="64"/>
      <c r="D17" s="64"/>
      <c r="E17" s="28"/>
      <c r="F17" s="29"/>
      <c r="G17" s="9" t="s">
        <v>24</v>
      </c>
      <c r="H17" s="73"/>
      <c r="I17" s="73"/>
      <c r="J17" s="30"/>
      <c r="K17" s="51"/>
      <c r="L17" s="51"/>
      <c r="R17" s="35">
        <v>7</v>
      </c>
    </row>
    <row r="18" spans="1:18">
      <c r="A18" s="70" t="s">
        <v>8</v>
      </c>
      <c r="B18" s="70"/>
      <c r="C18" s="64"/>
      <c r="D18" s="64"/>
      <c r="E18" s="28"/>
      <c r="F18" s="29"/>
      <c r="G18" s="9" t="s">
        <v>24</v>
      </c>
      <c r="H18" s="73"/>
      <c r="I18" s="73"/>
      <c r="J18" s="30"/>
      <c r="K18" s="51"/>
      <c r="L18" s="51"/>
      <c r="R18" s="35">
        <v>8</v>
      </c>
    </row>
    <row r="19" spans="1:18">
      <c r="R19" s="35">
        <v>9</v>
      </c>
    </row>
    <row r="20" spans="1:18">
      <c r="R20" s="35">
        <v>10</v>
      </c>
    </row>
    <row r="21" spans="1:18">
      <c r="R21" s="35">
        <v>11</v>
      </c>
    </row>
    <row r="22" spans="1:18">
      <c r="R22" s="35">
        <v>12</v>
      </c>
    </row>
    <row r="28" spans="1:18" ht="24.75" thickBot="1">
      <c r="A28" s="35" t="s">
        <v>28</v>
      </c>
    </row>
    <row r="29" spans="1:18" ht="24.75" thickBot="1">
      <c r="B29" s="35" t="s">
        <v>29</v>
      </c>
      <c r="C29" s="56">
        <v>95200</v>
      </c>
      <c r="D29" s="57"/>
      <c r="E29" s="36" t="s">
        <v>30</v>
      </c>
      <c r="G29" s="35" t="s">
        <v>31</v>
      </c>
      <c r="J29" s="56">
        <v>15800</v>
      </c>
      <c r="K29" s="57"/>
      <c r="L29" s="35" t="s">
        <v>30</v>
      </c>
    </row>
    <row r="30" spans="1:18">
      <c r="F30" s="10"/>
    </row>
    <row r="31" spans="1:18" hidden="1">
      <c r="B31" s="35" t="s">
        <v>32</v>
      </c>
    </row>
    <row r="32" spans="1:18" hidden="1">
      <c r="B32" s="50" t="s">
        <v>58</v>
      </c>
      <c r="C32" s="50"/>
      <c r="D32" s="50"/>
      <c r="E32" s="50"/>
      <c r="F32" s="44">
        <v>95200</v>
      </c>
      <c r="G32" s="45"/>
      <c r="H32" s="46"/>
      <c r="I32" s="35" t="s">
        <v>30</v>
      </c>
    </row>
    <row r="33" spans="2:9" ht="24.75" hidden="1" thickBot="1">
      <c r="B33" s="50" t="s">
        <v>33</v>
      </c>
      <c r="C33" s="50"/>
      <c r="D33" s="50"/>
      <c r="E33" s="50"/>
      <c r="F33" s="47">
        <v>0</v>
      </c>
      <c r="G33" s="48"/>
      <c r="H33" s="49"/>
      <c r="I33" s="35" t="s">
        <v>30</v>
      </c>
    </row>
    <row r="34" spans="2:9">
      <c r="B34" s="50"/>
      <c r="C34" s="50"/>
      <c r="D34" s="50"/>
      <c r="E34" s="50"/>
      <c r="F34" s="18"/>
    </row>
  </sheetData>
  <mergeCells count="48">
    <mergeCell ref="B34:E34"/>
    <mergeCell ref="C29:D29"/>
    <mergeCell ref="J29:K29"/>
    <mergeCell ref="B32:E32"/>
    <mergeCell ref="F32:H32"/>
    <mergeCell ref="B33:E33"/>
    <mergeCell ref="F33:H33"/>
    <mergeCell ref="A17:B17"/>
    <mergeCell ref="C17:D17"/>
    <mergeCell ref="H17:I17"/>
    <mergeCell ref="K17:L17"/>
    <mergeCell ref="A18:B18"/>
    <mergeCell ref="C18:D18"/>
    <mergeCell ref="H18:I18"/>
    <mergeCell ref="K18:L18"/>
    <mergeCell ref="A15:B15"/>
    <mergeCell ref="C15:D15"/>
    <mergeCell ref="H15:I15"/>
    <mergeCell ref="K15:L15"/>
    <mergeCell ref="A16:B16"/>
    <mergeCell ref="C16:D16"/>
    <mergeCell ref="H16:I16"/>
    <mergeCell ref="K16:L16"/>
    <mergeCell ref="A13:B13"/>
    <mergeCell ref="C13:D13"/>
    <mergeCell ref="H13:I13"/>
    <mergeCell ref="K13:L13"/>
    <mergeCell ref="A14:B14"/>
    <mergeCell ref="C14:D14"/>
    <mergeCell ref="H14:I14"/>
    <mergeCell ref="K14:L14"/>
    <mergeCell ref="A11:B11"/>
    <mergeCell ref="C11:D11"/>
    <mergeCell ref="H11:I11"/>
    <mergeCell ref="K11:L11"/>
    <mergeCell ref="A12:B12"/>
    <mergeCell ref="C12:D12"/>
    <mergeCell ref="H12:I12"/>
    <mergeCell ref="K12:L12"/>
    <mergeCell ref="A1:L1"/>
    <mergeCell ref="A9:B10"/>
    <mergeCell ref="C9:D10"/>
    <mergeCell ref="E9:E10"/>
    <mergeCell ref="F9:G10"/>
    <mergeCell ref="H9:I9"/>
    <mergeCell ref="J9:J10"/>
    <mergeCell ref="K9:L10"/>
    <mergeCell ref="H10:I10"/>
  </mergeCells>
  <phoneticPr fontId="1"/>
  <dataValidations count="3">
    <dataValidation type="list" allowBlank="1" showInputMessage="1" showErrorMessage="1" sqref="C11:D18">
      <formula1>$M$11:$M$14</formula1>
    </dataValidation>
    <dataValidation type="list" allowBlank="1" showInputMessage="1" showErrorMessage="1" sqref="F11:F18">
      <formula1>$R$11:$R$22</formula1>
    </dataValidation>
    <dataValidation type="list" allowBlank="1" showInputMessage="1" showErrorMessage="1" sqref="J11:J18 E11:E18">
      <formula1>$P$11:$P$12</formula1>
    </dataValidation>
  </dataValidations>
  <hyperlinks>
    <hyperlink ref="H10:I10" location="所得計算!A1" display="※所得計算はこちら"/>
  </hyperlinks>
  <pageMargins left="0.25" right="0.25" top="0.75" bottom="0.75" header="0.3" footer="0.3"/>
  <pageSetup paperSize="9" scale="84" orientation="portrait" horizontalDpi="4294967294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9"/>
  <sheetViews>
    <sheetView zoomScaleNormal="100" zoomScaleSheetLayoutView="100" workbookViewId="0">
      <selection activeCell="L11" sqref="L11"/>
    </sheetView>
  </sheetViews>
  <sheetFormatPr defaultRowHeight="24"/>
  <cols>
    <col min="1" max="12" width="9" style="32"/>
    <col min="13" max="13" width="9" style="32" customWidth="1"/>
    <col min="14" max="14" width="26.25" style="32" hidden="1" customWidth="1"/>
    <col min="15" max="16" width="9" style="32" hidden="1" customWidth="1"/>
    <col min="17" max="17" width="39.5" style="32" hidden="1" customWidth="1"/>
    <col min="18" max="18" width="21.625" style="32" hidden="1" customWidth="1"/>
    <col min="19" max="19" width="24.75" style="32" hidden="1" customWidth="1"/>
    <col min="20" max="16384" width="9" style="32"/>
  </cols>
  <sheetData>
    <row r="1" spans="1:19" customFormat="1" ht="42.75">
      <c r="A1" s="53" t="s">
        <v>151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  <c r="N1" s="32"/>
      <c r="O1" s="32"/>
      <c r="P1" s="32"/>
      <c r="Q1" s="32"/>
      <c r="R1" s="32"/>
      <c r="S1" s="32"/>
    </row>
    <row r="2" spans="1:19" ht="24.75" thickBot="1">
      <c r="Q2" s="32" t="s">
        <v>108</v>
      </c>
    </row>
    <row r="3" spans="1:19" ht="24.75" thickBot="1">
      <c r="A3" s="32" t="s">
        <v>139</v>
      </c>
      <c r="K3" s="91" t="s">
        <v>121</v>
      </c>
      <c r="L3" s="92"/>
      <c r="Q3" s="25">
        <f>Q5+Q7-100000</f>
        <v>100000</v>
      </c>
    </row>
    <row r="4" spans="1:19">
      <c r="Q4" s="32" t="s">
        <v>109</v>
      </c>
    </row>
    <row r="5" spans="1:19" ht="24.75" thickBot="1">
      <c r="B5" s="32" t="s">
        <v>94</v>
      </c>
      <c r="E5" s="32" t="s">
        <v>96</v>
      </c>
      <c r="H5" s="32" t="s">
        <v>97</v>
      </c>
      <c r="K5" s="32" t="s">
        <v>99</v>
      </c>
      <c r="N5" s="32" t="s">
        <v>107</v>
      </c>
      <c r="Q5" s="32">
        <f>IF(B6&lt;100000,B6,100000)</f>
        <v>100000</v>
      </c>
    </row>
    <row r="6" spans="1:19" ht="24.75" thickBot="1">
      <c r="B6" s="88">
        <v>950000</v>
      </c>
      <c r="C6" s="90"/>
      <c r="D6" s="34" t="s">
        <v>95</v>
      </c>
      <c r="E6" s="88">
        <v>200000</v>
      </c>
      <c r="F6" s="90"/>
      <c r="G6" s="34" t="s">
        <v>95</v>
      </c>
      <c r="H6" s="88">
        <v>0</v>
      </c>
      <c r="I6" s="90"/>
      <c r="J6" s="34" t="s">
        <v>98</v>
      </c>
      <c r="K6" s="56">
        <f>N6</f>
        <v>1050000</v>
      </c>
      <c r="L6" s="57"/>
      <c r="N6" s="25">
        <f>IF(AND(B6&gt;0,E6&gt;0),
IF(SUM(B6,E6)&gt;99999,SUM(B6,E6,H6)-Q3,
SUM(B6,E6,H6)),SUM(B6,E6,H6))</f>
        <v>1050000</v>
      </c>
      <c r="Q6" s="32" t="s">
        <v>110</v>
      </c>
    </row>
    <row r="7" spans="1:19">
      <c r="Q7" s="32">
        <f>IF(E6&lt;100000,E6,100000)</f>
        <v>100000</v>
      </c>
    </row>
    <row r="8" spans="1:19">
      <c r="A8" s="19" t="s">
        <v>65</v>
      </c>
      <c r="B8" s="20"/>
      <c r="C8" s="20"/>
    </row>
    <row r="9" spans="1:19">
      <c r="A9" s="32" t="s">
        <v>140</v>
      </c>
      <c r="B9" s="20"/>
      <c r="C9" s="20"/>
      <c r="N9"/>
      <c r="O9"/>
      <c r="P9"/>
      <c r="Q9"/>
      <c r="R9"/>
      <c r="S9"/>
    </row>
    <row r="10" spans="1:19" ht="24.75" thickBot="1">
      <c r="A10" s="32" t="s">
        <v>136</v>
      </c>
      <c r="N10" s="32" t="s">
        <v>78</v>
      </c>
      <c r="P10" s="32" t="s">
        <v>90</v>
      </c>
      <c r="R10" s="10" t="s">
        <v>106</v>
      </c>
    </row>
    <row r="11" spans="1:19" ht="24.75" thickBot="1">
      <c r="A11" s="32" t="s">
        <v>67</v>
      </c>
      <c r="N11" s="25">
        <f>E18</f>
        <v>1500000</v>
      </c>
      <c r="P11" s="33">
        <v>1</v>
      </c>
      <c r="Q11" s="26" t="s">
        <v>79</v>
      </c>
      <c r="R11" s="33">
        <v>0</v>
      </c>
    </row>
    <row r="12" spans="1:19">
      <c r="A12" s="32" t="s">
        <v>73</v>
      </c>
      <c r="N12" s="34" t="s">
        <v>71</v>
      </c>
      <c r="P12" s="33">
        <v>2</v>
      </c>
      <c r="Q12" s="26" t="s">
        <v>80</v>
      </c>
      <c r="R12" s="33">
        <f>N11-550000</f>
        <v>950000</v>
      </c>
    </row>
    <row r="13" spans="1:19" ht="24.75" thickBot="1">
      <c r="A13" s="32" t="s">
        <v>142</v>
      </c>
      <c r="B13" s="20"/>
      <c r="C13" s="20"/>
      <c r="N13" s="32" t="s">
        <v>92</v>
      </c>
      <c r="P13" s="33">
        <v>3</v>
      </c>
      <c r="Q13" s="26" t="s">
        <v>81</v>
      </c>
      <c r="R13" s="33">
        <v>1069000</v>
      </c>
    </row>
    <row r="14" spans="1:19" ht="24.75" thickBot="1">
      <c r="A14" s="32" t="s">
        <v>68</v>
      </c>
      <c r="N14" s="25">
        <f>IF(N11&lt;551000,1,
IF(N11&lt;1619000,2,
IF(N11&lt;1620000,3,
IF(N11&lt;1622000,4,
IF(N11&lt;1624000,5,
IF(N11&lt;1628000,6,
IF(N11&lt;1800000,7,
IF(N11&lt;3600000,8,
IF(N11&lt;6600000,9,
IF(N11&lt;8500000,10,11)
)))))))))</f>
        <v>2</v>
      </c>
      <c r="P14" s="33">
        <v>4</v>
      </c>
      <c r="Q14" s="26" t="s">
        <v>82</v>
      </c>
      <c r="R14" s="33">
        <v>1070000</v>
      </c>
    </row>
    <row r="15" spans="1:19">
      <c r="A15" s="32" t="s">
        <v>69</v>
      </c>
      <c r="P15" s="33">
        <v>5</v>
      </c>
      <c r="Q15" s="26" t="s">
        <v>83</v>
      </c>
      <c r="R15" s="33">
        <v>1072000</v>
      </c>
    </row>
    <row r="16" spans="1:19" ht="24.75" thickBot="1">
      <c r="A16" s="32" t="s">
        <v>70</v>
      </c>
      <c r="N16" s="32" t="s">
        <v>93</v>
      </c>
      <c r="P16" s="33">
        <v>6</v>
      </c>
      <c r="Q16" s="26" t="s">
        <v>84</v>
      </c>
      <c r="R16" s="33">
        <v>1074000</v>
      </c>
    </row>
    <row r="17" spans="1:19" ht="24.75" thickBot="1">
      <c r="I17" s="32" t="s">
        <v>119</v>
      </c>
      <c r="N17" s="25">
        <f>ROUNDDOWN(VLOOKUP(N14,P11:R21,3,FALSE),0)</f>
        <v>950000</v>
      </c>
      <c r="P17" s="33">
        <v>7</v>
      </c>
      <c r="Q17" s="26" t="s">
        <v>85</v>
      </c>
      <c r="R17" s="33">
        <f>(ROUNDDOWN(N11/4,-3)*2.4)+100000</f>
        <v>1000000</v>
      </c>
    </row>
    <row r="18" spans="1:19" ht="24.75" thickBot="1">
      <c r="B18" s="76" t="s">
        <v>72</v>
      </c>
      <c r="C18" s="76"/>
      <c r="D18" s="76"/>
      <c r="E18" s="88">
        <v>1500000</v>
      </c>
      <c r="F18" s="89"/>
      <c r="G18" s="90"/>
      <c r="I18" s="27"/>
      <c r="P18" s="33">
        <v>8</v>
      </c>
      <c r="Q18" s="26" t="s">
        <v>86</v>
      </c>
      <c r="R18" s="33">
        <f>(ROUNDDOWN(N11/4,-3)*2.8)-80000</f>
        <v>970000</v>
      </c>
    </row>
    <row r="19" spans="1:19" ht="24.75" thickBot="1">
      <c r="B19" s="34"/>
      <c r="C19" s="34"/>
      <c r="D19" s="34"/>
      <c r="F19" s="34" t="s">
        <v>71</v>
      </c>
      <c r="N19" s="32" t="s">
        <v>100</v>
      </c>
      <c r="P19" s="33">
        <v>9</v>
      </c>
      <c r="Q19" s="26" t="s">
        <v>87</v>
      </c>
      <c r="R19" s="33">
        <f>(ROUNDDOWN(N11/4,-3)*3.2)-440000</f>
        <v>760000</v>
      </c>
    </row>
    <row r="20" spans="1:19" ht="24.75" thickBot="1">
      <c r="B20" s="76" t="s">
        <v>143</v>
      </c>
      <c r="C20" s="76"/>
      <c r="D20" s="76"/>
      <c r="E20" s="56">
        <f>N23</f>
        <v>950000</v>
      </c>
      <c r="F20" s="77"/>
      <c r="G20" s="57"/>
      <c r="N20" s="25">
        <f>IF(E18&lt;8500000,0,
IF(I18="〇",(IF(N11&lt;10000000,N11,10000000)-8500000)*0.1,0))</f>
        <v>0</v>
      </c>
      <c r="P20" s="33">
        <v>10</v>
      </c>
      <c r="Q20" s="26" t="s">
        <v>88</v>
      </c>
      <c r="R20" s="33">
        <f>(N11*0.9)-1100000</f>
        <v>250000</v>
      </c>
    </row>
    <row r="21" spans="1:19">
      <c r="P21" s="33">
        <v>11</v>
      </c>
      <c r="Q21" s="26" t="s">
        <v>89</v>
      </c>
      <c r="R21" s="33">
        <f>N11-1950000</f>
        <v>-450000</v>
      </c>
    </row>
    <row r="22" spans="1:19" ht="24.75" thickBot="1">
      <c r="A22" s="20" t="s">
        <v>66</v>
      </c>
      <c r="N22" s="32" t="s">
        <v>102</v>
      </c>
    </row>
    <row r="23" spans="1:19" ht="24.75" thickBot="1">
      <c r="A23" s="32" t="s">
        <v>142</v>
      </c>
      <c r="B23" s="20"/>
      <c r="C23" s="20"/>
      <c r="N23" s="25">
        <f>N17-N20</f>
        <v>950000</v>
      </c>
    </row>
    <row r="24" spans="1:19">
      <c r="A24" s="32" t="s">
        <v>68</v>
      </c>
    </row>
    <row r="25" spans="1:19">
      <c r="A25" s="32" t="s">
        <v>69</v>
      </c>
      <c r="N25" s="32" t="s">
        <v>104</v>
      </c>
    </row>
    <row r="26" spans="1:19">
      <c r="A26" s="32" t="s">
        <v>126</v>
      </c>
      <c r="N26" s="32" t="s">
        <v>17</v>
      </c>
    </row>
    <row r="27" spans="1:19">
      <c r="A27" s="32" t="s">
        <v>144</v>
      </c>
      <c r="N27" s="32" t="s">
        <v>18</v>
      </c>
    </row>
    <row r="28" spans="1:19" ht="24.75" thickBot="1"/>
    <row r="29" spans="1:19" ht="24.75" thickBot="1">
      <c r="B29" s="76" t="s">
        <v>74</v>
      </c>
      <c r="C29" s="76"/>
      <c r="D29" s="76"/>
      <c r="E29" s="88">
        <v>1300000</v>
      </c>
      <c r="F29" s="89"/>
      <c r="G29" s="90"/>
      <c r="I29" s="32" t="s">
        <v>103</v>
      </c>
      <c r="K29" s="86" t="s">
        <v>117</v>
      </c>
      <c r="L29" s="87"/>
      <c r="N29" s="32" t="s">
        <v>120</v>
      </c>
      <c r="P29" s="32" t="s">
        <v>115</v>
      </c>
      <c r="R29" s="32" t="s">
        <v>122</v>
      </c>
      <c r="S29" s="32" t="s">
        <v>123</v>
      </c>
    </row>
    <row r="30" spans="1:19" ht="24.75" thickBot="1">
      <c r="B30" s="34"/>
      <c r="C30" s="34"/>
      <c r="D30" s="34"/>
      <c r="F30" s="34" t="s">
        <v>71</v>
      </c>
      <c r="I30" s="32" t="s">
        <v>145</v>
      </c>
      <c r="N30" s="25">
        <f>E29</f>
        <v>1300000</v>
      </c>
      <c r="P30" s="33">
        <v>1</v>
      </c>
      <c r="Q30" s="33" t="s">
        <v>124</v>
      </c>
      <c r="R30" s="33">
        <f>N30-1100000</f>
        <v>200000</v>
      </c>
      <c r="S30" s="33">
        <f>N30-600000</f>
        <v>700000</v>
      </c>
    </row>
    <row r="31" spans="1:19" ht="24.75" thickBot="1">
      <c r="B31" s="76" t="s">
        <v>146</v>
      </c>
      <c r="C31" s="76"/>
      <c r="D31" s="76"/>
      <c r="E31" s="56">
        <f>N36</f>
        <v>200000</v>
      </c>
      <c r="F31" s="77"/>
      <c r="G31" s="57"/>
      <c r="N31" s="34" t="s">
        <v>71</v>
      </c>
      <c r="P31" s="33">
        <v>2</v>
      </c>
      <c r="Q31" s="33" t="s">
        <v>125</v>
      </c>
      <c r="R31" s="33">
        <f>N30-1100000</f>
        <v>200000</v>
      </c>
      <c r="S31" s="33">
        <f>N30*0.75-275000</f>
        <v>700000</v>
      </c>
    </row>
    <row r="32" spans="1:19" ht="24.75" thickBot="1">
      <c r="N32" s="32" t="s">
        <v>92</v>
      </c>
      <c r="P32" s="33">
        <v>3</v>
      </c>
      <c r="Q32" s="33" t="s">
        <v>111</v>
      </c>
      <c r="R32" s="33">
        <f>N30*0.75-275000</f>
        <v>700000</v>
      </c>
      <c r="S32" s="33">
        <f>N30*0.75-275000</f>
        <v>700000</v>
      </c>
    </row>
    <row r="33" spans="1:19" ht="24.75" thickBot="1">
      <c r="A33" s="20" t="s">
        <v>75</v>
      </c>
      <c r="N33" s="25">
        <f>IF(N30&lt;1300000,1,
IF(N30&lt;3300000,2,
IF(N30&lt;4100000,3,
IF(N30&lt;7700000,4,
IF(N30&lt;10000000,5,6)))))</f>
        <v>2</v>
      </c>
      <c r="P33" s="33">
        <v>4</v>
      </c>
      <c r="Q33" s="33" t="s">
        <v>112</v>
      </c>
      <c r="R33" s="33">
        <f>N30*0.85-685000</f>
        <v>420000</v>
      </c>
      <c r="S33" s="33">
        <f>N30*0.85-685000</f>
        <v>420000</v>
      </c>
    </row>
    <row r="34" spans="1:19">
      <c r="A34" s="32" t="s">
        <v>147</v>
      </c>
      <c r="P34" s="33">
        <v>5</v>
      </c>
      <c r="Q34" s="33" t="s">
        <v>113</v>
      </c>
      <c r="R34" s="33">
        <f>N30*0.95-1455000</f>
        <v>-220000</v>
      </c>
      <c r="S34" s="33">
        <f>N30*0.95-1455000</f>
        <v>-220000</v>
      </c>
    </row>
    <row r="35" spans="1:19" ht="24.75" thickBot="1">
      <c r="A35" s="32" t="s">
        <v>76</v>
      </c>
      <c r="N35" s="32" t="s">
        <v>93</v>
      </c>
      <c r="P35" s="33">
        <v>6</v>
      </c>
      <c r="Q35" s="33" t="s">
        <v>114</v>
      </c>
      <c r="R35" s="33">
        <f>N30-1955000</f>
        <v>-655000</v>
      </c>
      <c r="S35" s="33">
        <f>N30-1955000</f>
        <v>-655000</v>
      </c>
    </row>
    <row r="36" spans="1:19" ht="24.75" thickBot="1">
      <c r="A36" s="32" t="s">
        <v>142</v>
      </c>
      <c r="B36" s="20"/>
      <c r="C36" s="20"/>
      <c r="N36" s="25">
        <f>IF(ROUNDDOWN(VLOOKUP(N33,P30:S35,R37,FALSE),0)&lt;0,0,
ROUNDDOWN(VLOOKUP(N33,P30:S35,R37,FALSE),0))</f>
        <v>200000</v>
      </c>
    </row>
    <row r="37" spans="1:19">
      <c r="A37" s="32" t="s">
        <v>68</v>
      </c>
      <c r="P37" s="32" t="s">
        <v>116</v>
      </c>
      <c r="R37" s="32">
        <f>IF(K29="65歳以上",3,
IF(K29="65歳未満",4,"error"))</f>
        <v>3</v>
      </c>
    </row>
    <row r="38" spans="1:19">
      <c r="A38" s="32" t="s">
        <v>69</v>
      </c>
      <c r="P38" s="32" t="s">
        <v>117</v>
      </c>
    </row>
    <row r="39" spans="1:19">
      <c r="A39" s="32" t="s">
        <v>77</v>
      </c>
      <c r="P39" s="32" t="s">
        <v>118</v>
      </c>
    </row>
  </sheetData>
  <mergeCells count="15">
    <mergeCell ref="A1:L1"/>
    <mergeCell ref="K3:L3"/>
    <mergeCell ref="B6:C6"/>
    <mergeCell ref="E6:F6"/>
    <mergeCell ref="H6:I6"/>
    <mergeCell ref="K6:L6"/>
    <mergeCell ref="K29:L29"/>
    <mergeCell ref="B31:D31"/>
    <mergeCell ref="E31:G31"/>
    <mergeCell ref="B18:D18"/>
    <mergeCell ref="E18:G18"/>
    <mergeCell ref="B20:D20"/>
    <mergeCell ref="E20:G20"/>
    <mergeCell ref="B29:D29"/>
    <mergeCell ref="E29:G29"/>
  </mergeCells>
  <phoneticPr fontId="1"/>
  <dataValidations count="2">
    <dataValidation type="list" allowBlank="1" showInputMessage="1" showErrorMessage="1" sqref="K29">
      <formula1>$P$38:$P$39</formula1>
    </dataValidation>
    <dataValidation type="list" allowBlank="1" showInputMessage="1" showErrorMessage="1" sqref="I18">
      <formula1>$N$26:$N$27</formula1>
    </dataValidation>
  </dataValidations>
  <pageMargins left="0.7" right="0.7" top="0.75" bottom="0.75" header="0.3" footer="0.3"/>
  <pageSetup paperSize="9" scale="75" orientation="portrait" horizontalDpi="4294967294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V39"/>
  <sheetViews>
    <sheetView zoomScale="70" zoomScaleNormal="70" workbookViewId="0">
      <selection activeCell="N20" sqref="N20"/>
    </sheetView>
  </sheetViews>
  <sheetFormatPr defaultRowHeight="24"/>
  <cols>
    <col min="1" max="2" width="9" style="2"/>
    <col min="3" max="3" width="13.625" style="2" customWidth="1"/>
    <col min="4" max="4" width="12.875" style="2" customWidth="1"/>
    <col min="5" max="5" width="13.875" style="2" customWidth="1"/>
    <col min="6" max="6" width="9" style="2"/>
    <col min="7" max="7" width="15.25" style="2" customWidth="1"/>
    <col min="8" max="13" width="9" style="2"/>
    <col min="14" max="14" width="15.125" style="2" customWidth="1"/>
    <col min="15" max="15" width="17" style="2" customWidth="1"/>
    <col min="16" max="16" width="18.25" style="2" customWidth="1"/>
    <col min="17" max="17" width="15.25" style="2" customWidth="1"/>
    <col min="18" max="18" width="15.875" style="2" customWidth="1"/>
    <col min="19" max="19" width="14.125" style="2" customWidth="1"/>
    <col min="20" max="20" width="17.75" style="2" customWidth="1"/>
    <col min="21" max="22" width="23.75" style="2" customWidth="1"/>
    <col min="23" max="16384" width="9" style="2"/>
  </cols>
  <sheetData>
    <row r="2" spans="1:22" ht="24" customHeight="1">
      <c r="A2" s="65"/>
      <c r="B2" s="66"/>
      <c r="C2" s="69" t="s">
        <v>9</v>
      </c>
      <c r="D2" s="69"/>
      <c r="E2" s="93" t="s">
        <v>10</v>
      </c>
      <c r="F2" s="100" t="s">
        <v>23</v>
      </c>
      <c r="G2" s="101"/>
      <c r="H2" s="104" t="s">
        <v>22</v>
      </c>
      <c r="I2" s="105"/>
      <c r="J2" s="93" t="s">
        <v>11</v>
      </c>
      <c r="K2" s="93" t="s">
        <v>27</v>
      </c>
      <c r="L2" s="93"/>
      <c r="N2" s="93" t="s">
        <v>40</v>
      </c>
      <c r="O2" s="93" t="s">
        <v>37</v>
      </c>
      <c r="P2" s="93" t="s">
        <v>38</v>
      </c>
      <c r="Q2" s="93" t="s">
        <v>45</v>
      </c>
      <c r="R2" s="93" t="s">
        <v>53</v>
      </c>
      <c r="S2" s="93" t="s">
        <v>55</v>
      </c>
      <c r="T2" s="93" t="s">
        <v>59</v>
      </c>
      <c r="U2" s="93" t="s">
        <v>135</v>
      </c>
      <c r="V2" s="93" t="s">
        <v>134</v>
      </c>
    </row>
    <row r="3" spans="1:22" ht="18.75" customHeight="1">
      <c r="A3" s="113"/>
      <c r="B3" s="114"/>
      <c r="C3" s="69"/>
      <c r="D3" s="69"/>
      <c r="E3" s="93"/>
      <c r="F3" s="102"/>
      <c r="G3" s="103"/>
      <c r="H3" s="106"/>
      <c r="I3" s="107"/>
      <c r="J3" s="93"/>
      <c r="K3" s="93"/>
      <c r="L3" s="93"/>
      <c r="N3" s="93"/>
      <c r="O3" s="93"/>
      <c r="P3" s="93"/>
      <c r="Q3" s="93"/>
      <c r="R3" s="93"/>
      <c r="S3" s="94"/>
      <c r="T3" s="94"/>
      <c r="U3" s="94"/>
      <c r="V3" s="94"/>
    </row>
    <row r="4" spans="1:22">
      <c r="A4" s="95" t="s">
        <v>1</v>
      </c>
      <c r="B4" s="95"/>
      <c r="C4" s="97">
        <f>試算表!C11</f>
        <v>0</v>
      </c>
      <c r="D4" s="97"/>
      <c r="E4" s="6">
        <f>試算表!E11</f>
        <v>0</v>
      </c>
      <c r="F4" s="11">
        <f>試算表!F11</f>
        <v>0</v>
      </c>
      <c r="G4" s="12" t="s">
        <v>24</v>
      </c>
      <c r="H4" s="98">
        <f>試算表!H11</f>
        <v>0</v>
      </c>
      <c r="I4" s="98"/>
      <c r="J4" s="13">
        <f>試算表!J11</f>
        <v>0</v>
      </c>
      <c r="K4" s="99">
        <f>試算表!K11</f>
        <v>0</v>
      </c>
      <c r="L4" s="99"/>
      <c r="N4" s="17">
        <f>IF(E4="〇",H4,0)</f>
        <v>0</v>
      </c>
      <c r="O4" s="17">
        <f>IF(J4="〇",N4*0.3,N4)</f>
        <v>0</v>
      </c>
      <c r="P4" s="17">
        <f>IF(E4="〇",K4,0)</f>
        <v>0</v>
      </c>
      <c r="Q4" s="17">
        <f>IF(J4="〇",H4*0.3,H4)</f>
        <v>0</v>
      </c>
      <c r="R4" s="17">
        <f>IF(E4="×",0,F4/12)</f>
        <v>0</v>
      </c>
      <c r="S4" s="17">
        <f>IF(C4="未就学児(小学校入学前)",0.5,1)</f>
        <v>1</v>
      </c>
      <c r="T4" s="17">
        <f>IF(C4="40歳～64歳",1,0)</f>
        <v>0</v>
      </c>
      <c r="U4" s="43">
        <f>IF(E4="〇",F4,0)</f>
        <v>0</v>
      </c>
      <c r="V4" s="17">
        <f>IF(AND(E4="〇",T4=1),F4,0)</f>
        <v>0</v>
      </c>
    </row>
    <row r="5" spans="1:22">
      <c r="A5" s="95" t="s">
        <v>2</v>
      </c>
      <c r="B5" s="95"/>
      <c r="C5" s="97">
        <f>試算表!C12</f>
        <v>0</v>
      </c>
      <c r="D5" s="97"/>
      <c r="E5" s="6">
        <f>試算表!E12</f>
        <v>0</v>
      </c>
      <c r="F5" s="11">
        <f>試算表!F12</f>
        <v>0</v>
      </c>
      <c r="G5" s="12" t="s">
        <v>24</v>
      </c>
      <c r="H5" s="98">
        <f>試算表!H12</f>
        <v>0</v>
      </c>
      <c r="I5" s="98"/>
      <c r="J5" s="13">
        <f>試算表!J12</f>
        <v>0</v>
      </c>
      <c r="K5" s="99">
        <f>試算表!K12</f>
        <v>0</v>
      </c>
      <c r="L5" s="99"/>
      <c r="N5" s="17">
        <f>IF(E5="〇",H5,0)</f>
        <v>0</v>
      </c>
      <c r="O5" s="31">
        <f>IF(J5="〇",N5*0.3,N5)</f>
        <v>0</v>
      </c>
      <c r="P5" s="17">
        <f t="shared" ref="P5:P11" si="0">IF(E5="〇",K5,0)</f>
        <v>0</v>
      </c>
      <c r="Q5" s="17">
        <f>IF(OR(E5="×",E5=0),0,
IF(J5="〇",H5*0.3,H5))</f>
        <v>0</v>
      </c>
      <c r="R5" s="24">
        <f t="shared" ref="R5:R11" si="1">IF(E5="×",0,F5/12)</f>
        <v>0</v>
      </c>
      <c r="S5" s="17">
        <f t="shared" ref="S5:S11" si="2">IF(C5="未就学児(小学校入学前)",0.5,1)</f>
        <v>1</v>
      </c>
      <c r="T5" s="17">
        <f t="shared" ref="T5:T11" si="3">IF(C5="40歳～64歳",1,0)</f>
        <v>0</v>
      </c>
      <c r="U5" s="43">
        <f t="shared" ref="U5:U11" si="4">IF(E5="〇",F5,0)</f>
        <v>0</v>
      </c>
      <c r="V5" s="17">
        <f t="shared" ref="V5:V11" si="5">IF(T5=1,F5,0)</f>
        <v>0</v>
      </c>
    </row>
    <row r="6" spans="1:22">
      <c r="A6" s="95" t="s">
        <v>3</v>
      </c>
      <c r="B6" s="95"/>
      <c r="C6" s="97">
        <f>試算表!C13</f>
        <v>0</v>
      </c>
      <c r="D6" s="97"/>
      <c r="E6" s="6">
        <f>試算表!E13</f>
        <v>0</v>
      </c>
      <c r="F6" s="11">
        <f>試算表!F13</f>
        <v>0</v>
      </c>
      <c r="G6" s="12" t="s">
        <v>24</v>
      </c>
      <c r="H6" s="98">
        <f>試算表!H13</f>
        <v>0</v>
      </c>
      <c r="I6" s="98"/>
      <c r="J6" s="13">
        <f>試算表!J13</f>
        <v>0</v>
      </c>
      <c r="K6" s="99">
        <f>試算表!K13</f>
        <v>0</v>
      </c>
      <c r="L6" s="99"/>
      <c r="N6" s="17">
        <f t="shared" ref="N6:N11" si="6">IF(E6="〇",H6,0)</f>
        <v>0</v>
      </c>
      <c r="O6" s="31">
        <f t="shared" ref="O6:O11" si="7">IF(J6="〇",N6*0.3,N6)</f>
        <v>0</v>
      </c>
      <c r="P6" s="17">
        <f t="shared" si="0"/>
        <v>0</v>
      </c>
      <c r="Q6" s="31">
        <f>IF(OR(E6="×",E6=0),0,
IF(J6="〇",H6*0.3,H6))</f>
        <v>0</v>
      </c>
      <c r="R6" s="24">
        <f t="shared" si="1"/>
        <v>0</v>
      </c>
      <c r="S6" s="17">
        <f t="shared" si="2"/>
        <v>1</v>
      </c>
      <c r="T6" s="17">
        <f t="shared" si="3"/>
        <v>0</v>
      </c>
      <c r="U6" s="43">
        <f t="shared" si="4"/>
        <v>0</v>
      </c>
      <c r="V6" s="17">
        <f t="shared" si="5"/>
        <v>0</v>
      </c>
    </row>
    <row r="7" spans="1:22">
      <c r="A7" s="95" t="s">
        <v>4</v>
      </c>
      <c r="B7" s="95"/>
      <c r="C7" s="97">
        <f>試算表!C14</f>
        <v>0</v>
      </c>
      <c r="D7" s="97"/>
      <c r="E7" s="6">
        <f>試算表!E14</f>
        <v>0</v>
      </c>
      <c r="F7" s="11">
        <f>試算表!F14</f>
        <v>0</v>
      </c>
      <c r="G7" s="12" t="s">
        <v>24</v>
      </c>
      <c r="H7" s="98">
        <f>試算表!H14</f>
        <v>0</v>
      </c>
      <c r="I7" s="98"/>
      <c r="J7" s="13">
        <f>試算表!J14</f>
        <v>0</v>
      </c>
      <c r="K7" s="99">
        <f>試算表!K14</f>
        <v>0</v>
      </c>
      <c r="L7" s="99"/>
      <c r="N7" s="17">
        <f t="shared" si="6"/>
        <v>0</v>
      </c>
      <c r="O7" s="31">
        <f t="shared" si="7"/>
        <v>0</v>
      </c>
      <c r="P7" s="17">
        <f t="shared" si="0"/>
        <v>0</v>
      </c>
      <c r="Q7" s="31">
        <f t="shared" ref="Q7:Q11" si="8">IF(OR(E7="×",E7=0),0,
IF(J7="〇",H7*0.3,H7))</f>
        <v>0</v>
      </c>
      <c r="R7" s="24">
        <f t="shared" si="1"/>
        <v>0</v>
      </c>
      <c r="S7" s="17">
        <f t="shared" si="2"/>
        <v>1</v>
      </c>
      <c r="T7" s="17">
        <f t="shared" si="3"/>
        <v>0</v>
      </c>
      <c r="U7" s="43">
        <f t="shared" si="4"/>
        <v>0</v>
      </c>
      <c r="V7" s="17">
        <f t="shared" si="5"/>
        <v>0</v>
      </c>
    </row>
    <row r="8" spans="1:22">
      <c r="A8" s="95" t="s">
        <v>5</v>
      </c>
      <c r="B8" s="95"/>
      <c r="C8" s="97">
        <f>試算表!C15</f>
        <v>0</v>
      </c>
      <c r="D8" s="97"/>
      <c r="E8" s="6">
        <f>試算表!E15</f>
        <v>0</v>
      </c>
      <c r="F8" s="11">
        <f>試算表!F15</f>
        <v>0</v>
      </c>
      <c r="G8" s="12" t="s">
        <v>24</v>
      </c>
      <c r="H8" s="98">
        <f>試算表!H15</f>
        <v>0</v>
      </c>
      <c r="I8" s="98"/>
      <c r="J8" s="13">
        <f>試算表!J15</f>
        <v>0</v>
      </c>
      <c r="K8" s="99">
        <f>試算表!K15</f>
        <v>0</v>
      </c>
      <c r="L8" s="99"/>
      <c r="N8" s="17">
        <f t="shared" si="6"/>
        <v>0</v>
      </c>
      <c r="O8" s="31">
        <f t="shared" si="7"/>
        <v>0</v>
      </c>
      <c r="P8" s="17">
        <f t="shared" si="0"/>
        <v>0</v>
      </c>
      <c r="Q8" s="31">
        <f t="shared" si="8"/>
        <v>0</v>
      </c>
      <c r="R8" s="24">
        <f t="shared" si="1"/>
        <v>0</v>
      </c>
      <c r="S8" s="17">
        <f t="shared" si="2"/>
        <v>1</v>
      </c>
      <c r="T8" s="17">
        <f t="shared" si="3"/>
        <v>0</v>
      </c>
      <c r="U8" s="43">
        <f t="shared" si="4"/>
        <v>0</v>
      </c>
      <c r="V8" s="17">
        <f t="shared" si="5"/>
        <v>0</v>
      </c>
    </row>
    <row r="9" spans="1:22">
      <c r="A9" s="95" t="s">
        <v>6</v>
      </c>
      <c r="B9" s="95"/>
      <c r="C9" s="97">
        <f>試算表!C16</f>
        <v>0</v>
      </c>
      <c r="D9" s="97"/>
      <c r="E9" s="6">
        <f>試算表!E16</f>
        <v>0</v>
      </c>
      <c r="F9" s="11">
        <f>試算表!F16</f>
        <v>0</v>
      </c>
      <c r="G9" s="12" t="s">
        <v>24</v>
      </c>
      <c r="H9" s="98">
        <f>試算表!H16</f>
        <v>0</v>
      </c>
      <c r="I9" s="98"/>
      <c r="J9" s="13">
        <f>試算表!J16</f>
        <v>0</v>
      </c>
      <c r="K9" s="99">
        <f>試算表!K16</f>
        <v>0</v>
      </c>
      <c r="L9" s="99"/>
      <c r="N9" s="17">
        <f t="shared" si="6"/>
        <v>0</v>
      </c>
      <c r="O9" s="31">
        <f t="shared" si="7"/>
        <v>0</v>
      </c>
      <c r="P9" s="17">
        <f t="shared" si="0"/>
        <v>0</v>
      </c>
      <c r="Q9" s="31">
        <f t="shared" si="8"/>
        <v>0</v>
      </c>
      <c r="R9" s="24">
        <f t="shared" si="1"/>
        <v>0</v>
      </c>
      <c r="S9" s="17">
        <f t="shared" si="2"/>
        <v>1</v>
      </c>
      <c r="T9" s="17">
        <f t="shared" si="3"/>
        <v>0</v>
      </c>
      <c r="U9" s="43">
        <f t="shared" si="4"/>
        <v>0</v>
      </c>
      <c r="V9" s="17">
        <f t="shared" si="5"/>
        <v>0</v>
      </c>
    </row>
    <row r="10" spans="1:22">
      <c r="A10" s="95" t="s">
        <v>7</v>
      </c>
      <c r="B10" s="95"/>
      <c r="C10" s="97">
        <f>試算表!C17</f>
        <v>0</v>
      </c>
      <c r="D10" s="97"/>
      <c r="E10" s="6">
        <f>試算表!E17</f>
        <v>0</v>
      </c>
      <c r="F10" s="11">
        <f>試算表!F17</f>
        <v>0</v>
      </c>
      <c r="G10" s="12" t="s">
        <v>24</v>
      </c>
      <c r="H10" s="98">
        <f>試算表!H17</f>
        <v>0</v>
      </c>
      <c r="I10" s="98"/>
      <c r="J10" s="13">
        <f>試算表!J17</f>
        <v>0</v>
      </c>
      <c r="K10" s="99">
        <f>試算表!K17</f>
        <v>0</v>
      </c>
      <c r="L10" s="99"/>
      <c r="N10" s="17">
        <f t="shared" si="6"/>
        <v>0</v>
      </c>
      <c r="O10" s="31">
        <f t="shared" si="7"/>
        <v>0</v>
      </c>
      <c r="P10" s="17">
        <f t="shared" si="0"/>
        <v>0</v>
      </c>
      <c r="Q10" s="31">
        <f t="shared" si="8"/>
        <v>0</v>
      </c>
      <c r="R10" s="24">
        <f t="shared" si="1"/>
        <v>0</v>
      </c>
      <c r="S10" s="17">
        <f t="shared" si="2"/>
        <v>1</v>
      </c>
      <c r="T10" s="17">
        <f t="shared" si="3"/>
        <v>0</v>
      </c>
      <c r="U10" s="43">
        <f t="shared" si="4"/>
        <v>0</v>
      </c>
      <c r="V10" s="17">
        <f t="shared" si="5"/>
        <v>0</v>
      </c>
    </row>
    <row r="11" spans="1:22">
      <c r="A11" s="95" t="s">
        <v>8</v>
      </c>
      <c r="B11" s="95"/>
      <c r="C11" s="97">
        <f>試算表!C18</f>
        <v>0</v>
      </c>
      <c r="D11" s="97"/>
      <c r="E11" s="6">
        <f>試算表!E18</f>
        <v>0</v>
      </c>
      <c r="F11" s="11">
        <f>試算表!F18</f>
        <v>0</v>
      </c>
      <c r="G11" s="12" t="s">
        <v>24</v>
      </c>
      <c r="H11" s="98">
        <f>試算表!H18</f>
        <v>0</v>
      </c>
      <c r="I11" s="98"/>
      <c r="J11" s="13">
        <f>試算表!J18</f>
        <v>0</v>
      </c>
      <c r="K11" s="99">
        <f>試算表!K18</f>
        <v>0</v>
      </c>
      <c r="L11" s="99"/>
      <c r="N11" s="17">
        <f t="shared" si="6"/>
        <v>0</v>
      </c>
      <c r="O11" s="31">
        <f t="shared" si="7"/>
        <v>0</v>
      </c>
      <c r="P11" s="17">
        <f t="shared" si="0"/>
        <v>0</v>
      </c>
      <c r="Q11" s="31">
        <f t="shared" si="8"/>
        <v>0</v>
      </c>
      <c r="R11" s="24">
        <f t="shared" si="1"/>
        <v>0</v>
      </c>
      <c r="S11" s="17">
        <f t="shared" si="2"/>
        <v>1</v>
      </c>
      <c r="T11" s="17">
        <f t="shared" si="3"/>
        <v>0</v>
      </c>
      <c r="U11" s="43">
        <f t="shared" si="4"/>
        <v>0</v>
      </c>
      <c r="V11" s="17">
        <f t="shared" si="5"/>
        <v>0</v>
      </c>
    </row>
    <row r="13" spans="1:22">
      <c r="A13" s="2" t="s">
        <v>36</v>
      </c>
    </row>
    <row r="14" spans="1:22">
      <c r="A14" s="2" t="s">
        <v>41</v>
      </c>
      <c r="C14" s="2">
        <f>COUNTIF(E4:E11,"〇")</f>
        <v>0</v>
      </c>
    </row>
    <row r="15" spans="1:22">
      <c r="A15" s="2" t="s">
        <v>39</v>
      </c>
      <c r="C15" s="108">
        <f>SUM(Q4:Q11)</f>
        <v>0</v>
      </c>
      <c r="D15" s="108"/>
    </row>
    <row r="16" spans="1:22">
      <c r="A16" s="2" t="s">
        <v>35</v>
      </c>
      <c r="C16" s="2" t="s">
        <v>42</v>
      </c>
      <c r="D16" s="2" t="s">
        <v>43</v>
      </c>
      <c r="E16" s="2" t="s">
        <v>44</v>
      </c>
    </row>
    <row r="17" spans="1:10">
      <c r="C17" s="2">
        <v>430000</v>
      </c>
      <c r="D17" s="2">
        <f>430000+(C14*295000)</f>
        <v>430000</v>
      </c>
      <c r="E17" s="2">
        <f>430000+(C14*545000)</f>
        <v>430000</v>
      </c>
    </row>
    <row r="18" spans="1:10" ht="24.75" thickBot="1">
      <c r="C18" s="2" t="str">
        <f>IF(C15&lt;C17,"〇","×")</f>
        <v>〇</v>
      </c>
      <c r="D18" s="2" t="str">
        <f>IF(C15&lt;D17,"〇","×")</f>
        <v>〇</v>
      </c>
      <c r="E18" s="2" t="str">
        <f>IF(C15&lt;E17,"〇","×")</f>
        <v>〇</v>
      </c>
    </row>
    <row r="19" spans="1:10" ht="24.75" thickBot="1">
      <c r="C19" s="15">
        <f>IF(C18="〇",7,
IF(D18="〇",5,
IF(E18="〇",2,0)))</f>
        <v>7</v>
      </c>
      <c r="D19" s="16" t="s">
        <v>46</v>
      </c>
      <c r="F19" s="17">
        <f>IF(C19=7,0.3,
IF(C19=5,0.5,
IF(C19=2,0.8,1)))</f>
        <v>0.3</v>
      </c>
    </row>
    <row r="21" spans="1:10">
      <c r="A21" s="2" t="s">
        <v>47</v>
      </c>
    </row>
    <row r="22" spans="1:10">
      <c r="A22" s="2" t="s">
        <v>52</v>
      </c>
      <c r="C22" s="17">
        <f>MAX(U4:U11)</f>
        <v>0</v>
      </c>
      <c r="G22" s="17">
        <f>MAX(V4:V11)</f>
        <v>0</v>
      </c>
    </row>
    <row r="23" spans="1:10">
      <c r="C23" s="112" t="s">
        <v>56</v>
      </c>
      <c r="D23" s="112"/>
      <c r="E23" s="112"/>
      <c r="F23" s="112"/>
      <c r="G23" s="112" t="s">
        <v>57</v>
      </c>
      <c r="H23" s="112"/>
      <c r="I23" s="112"/>
      <c r="J23" s="112"/>
    </row>
    <row r="24" spans="1:10">
      <c r="C24" s="17" t="s">
        <v>48</v>
      </c>
      <c r="D24" s="17" t="s">
        <v>49</v>
      </c>
      <c r="E24" s="17" t="s">
        <v>50</v>
      </c>
      <c r="F24" s="17" t="s">
        <v>51</v>
      </c>
      <c r="G24" s="17" t="s">
        <v>48</v>
      </c>
      <c r="H24" s="17" t="s">
        <v>49</v>
      </c>
      <c r="I24" s="17" t="s">
        <v>50</v>
      </c>
      <c r="J24" s="17" t="s">
        <v>51</v>
      </c>
    </row>
    <row r="25" spans="1:10">
      <c r="A25" s="95" t="s">
        <v>1</v>
      </c>
      <c r="B25" s="96"/>
      <c r="C25" s="17">
        <f>IF((O4-430000)&lt;0,0,O4-430000)*0.12*R4</f>
        <v>0</v>
      </c>
      <c r="D25" s="17">
        <f t="shared" ref="D25:D32" si="9">P4*0.35*R4</f>
        <v>0</v>
      </c>
      <c r="E25" s="17">
        <f>28000*R4*$F$19*S4</f>
        <v>0</v>
      </c>
      <c r="F25" s="109">
        <f>32000*(C22/12)*F19</f>
        <v>0</v>
      </c>
      <c r="G25" s="17">
        <f>IF((O4-430000)&lt;0,0,O4-430000)*0.02*R4*T4</f>
        <v>0</v>
      </c>
      <c r="H25" s="17">
        <f>P4*0.06*R4*T4</f>
        <v>0</v>
      </c>
      <c r="I25" s="17">
        <f>6000*R4*$F$19*S4*T4</f>
        <v>0</v>
      </c>
      <c r="J25" s="94">
        <f>7000*(G22/12)*F19</f>
        <v>0</v>
      </c>
    </row>
    <row r="26" spans="1:10">
      <c r="A26" s="95" t="s">
        <v>2</v>
      </c>
      <c r="B26" s="96"/>
      <c r="C26" s="17">
        <f>IF((O5-430000)&lt;0,0,O5-430000)*0.12*R5</f>
        <v>0</v>
      </c>
      <c r="D26" s="17">
        <f t="shared" si="9"/>
        <v>0</v>
      </c>
      <c r="E26" s="17">
        <f t="shared" ref="E26:E32" si="10">28000*R5*$F$19*S5</f>
        <v>0</v>
      </c>
      <c r="F26" s="110"/>
      <c r="G26" s="17">
        <f t="shared" ref="G26:G32" si="11">IF((O5-430000)&lt;0,0,O5-430000)*0.02*R5*T5</f>
        <v>0</v>
      </c>
      <c r="H26" s="17">
        <f t="shared" ref="H26:H32" si="12">P5*0.06*R5*T5</f>
        <v>0</v>
      </c>
      <c r="I26" s="17">
        <f t="shared" ref="I26:I32" si="13">6000*R5*$F$19*S5*T5</f>
        <v>0</v>
      </c>
      <c r="J26" s="94"/>
    </row>
    <row r="27" spans="1:10">
      <c r="A27" s="95" t="s">
        <v>3</v>
      </c>
      <c r="B27" s="96"/>
      <c r="C27" s="17">
        <f t="shared" ref="C27:C32" si="14">IF((O6-430000)&lt;0,0,O6-430000)*0.12*R6</f>
        <v>0</v>
      </c>
      <c r="D27" s="17">
        <f t="shared" si="9"/>
        <v>0</v>
      </c>
      <c r="E27" s="17">
        <f t="shared" si="10"/>
        <v>0</v>
      </c>
      <c r="F27" s="110"/>
      <c r="G27" s="17">
        <f t="shared" si="11"/>
        <v>0</v>
      </c>
      <c r="H27" s="17">
        <f t="shared" si="12"/>
        <v>0</v>
      </c>
      <c r="I27" s="17">
        <f t="shared" si="13"/>
        <v>0</v>
      </c>
      <c r="J27" s="94"/>
    </row>
    <row r="28" spans="1:10">
      <c r="A28" s="95" t="s">
        <v>4</v>
      </c>
      <c r="B28" s="96"/>
      <c r="C28" s="17">
        <f t="shared" si="14"/>
        <v>0</v>
      </c>
      <c r="D28" s="17">
        <f t="shared" si="9"/>
        <v>0</v>
      </c>
      <c r="E28" s="17">
        <f t="shared" si="10"/>
        <v>0</v>
      </c>
      <c r="F28" s="110"/>
      <c r="G28" s="17">
        <f t="shared" si="11"/>
        <v>0</v>
      </c>
      <c r="H28" s="17">
        <f t="shared" si="12"/>
        <v>0</v>
      </c>
      <c r="I28" s="17">
        <f t="shared" si="13"/>
        <v>0</v>
      </c>
      <c r="J28" s="94"/>
    </row>
    <row r="29" spans="1:10">
      <c r="A29" s="95" t="s">
        <v>5</v>
      </c>
      <c r="B29" s="96"/>
      <c r="C29" s="17">
        <f t="shared" si="14"/>
        <v>0</v>
      </c>
      <c r="D29" s="17">
        <f t="shared" si="9"/>
        <v>0</v>
      </c>
      <c r="E29" s="17">
        <f t="shared" si="10"/>
        <v>0</v>
      </c>
      <c r="F29" s="110"/>
      <c r="G29" s="17">
        <f t="shared" si="11"/>
        <v>0</v>
      </c>
      <c r="H29" s="17">
        <f t="shared" si="12"/>
        <v>0</v>
      </c>
      <c r="I29" s="17">
        <f t="shared" si="13"/>
        <v>0</v>
      </c>
      <c r="J29" s="94"/>
    </row>
    <row r="30" spans="1:10">
      <c r="A30" s="95" t="s">
        <v>6</v>
      </c>
      <c r="B30" s="96"/>
      <c r="C30" s="17">
        <f t="shared" si="14"/>
        <v>0</v>
      </c>
      <c r="D30" s="17">
        <f t="shared" si="9"/>
        <v>0</v>
      </c>
      <c r="E30" s="17">
        <f t="shared" si="10"/>
        <v>0</v>
      </c>
      <c r="F30" s="110"/>
      <c r="G30" s="17">
        <f t="shared" si="11"/>
        <v>0</v>
      </c>
      <c r="H30" s="17">
        <f t="shared" si="12"/>
        <v>0</v>
      </c>
      <c r="I30" s="17">
        <f t="shared" si="13"/>
        <v>0</v>
      </c>
      <c r="J30" s="94"/>
    </row>
    <row r="31" spans="1:10">
      <c r="A31" s="95" t="s">
        <v>7</v>
      </c>
      <c r="B31" s="96"/>
      <c r="C31" s="17">
        <f t="shared" si="14"/>
        <v>0</v>
      </c>
      <c r="D31" s="17">
        <f t="shared" si="9"/>
        <v>0</v>
      </c>
      <c r="E31" s="17">
        <f t="shared" si="10"/>
        <v>0</v>
      </c>
      <c r="F31" s="110"/>
      <c r="G31" s="17">
        <f t="shared" si="11"/>
        <v>0</v>
      </c>
      <c r="H31" s="17">
        <f t="shared" si="12"/>
        <v>0</v>
      </c>
      <c r="I31" s="17">
        <f t="shared" si="13"/>
        <v>0</v>
      </c>
      <c r="J31" s="94"/>
    </row>
    <row r="32" spans="1:10">
      <c r="A32" s="95" t="s">
        <v>8</v>
      </c>
      <c r="B32" s="96"/>
      <c r="C32" s="17">
        <f t="shared" si="14"/>
        <v>0</v>
      </c>
      <c r="D32" s="17">
        <f t="shared" si="9"/>
        <v>0</v>
      </c>
      <c r="E32" s="17">
        <f t="shared" si="10"/>
        <v>0</v>
      </c>
      <c r="F32" s="110"/>
      <c r="G32" s="17">
        <f t="shared" si="11"/>
        <v>0</v>
      </c>
      <c r="H32" s="17">
        <f t="shared" si="12"/>
        <v>0</v>
      </c>
      <c r="I32" s="17">
        <f t="shared" si="13"/>
        <v>0</v>
      </c>
      <c r="J32" s="94"/>
    </row>
    <row r="33" spans="1:10">
      <c r="A33" s="95" t="s">
        <v>54</v>
      </c>
      <c r="B33" s="96"/>
      <c r="C33" s="17">
        <f>SUM(C25:C32)</f>
        <v>0</v>
      </c>
      <c r="D33" s="17">
        <f t="shared" ref="D33:E33" si="15">SUM(D25:D32)</f>
        <v>0</v>
      </c>
      <c r="E33" s="17">
        <f t="shared" si="15"/>
        <v>0</v>
      </c>
      <c r="F33" s="111"/>
      <c r="G33" s="17">
        <f>SUM(G25:G32)</f>
        <v>0</v>
      </c>
      <c r="H33" s="17">
        <f>SUM(H25:H32)</f>
        <v>0</v>
      </c>
      <c r="I33" s="17">
        <f>SUM(I25:I32)</f>
        <v>0</v>
      </c>
      <c r="J33" s="94"/>
    </row>
    <row r="34" spans="1:10">
      <c r="D34" s="2" t="s">
        <v>127</v>
      </c>
    </row>
    <row r="35" spans="1:10">
      <c r="A35" s="95" t="s">
        <v>60</v>
      </c>
      <c r="B35" s="96"/>
      <c r="C35" s="17">
        <f>ROUNDDOWN(SUM(C33,D33,E33,F25),-2)</f>
        <v>0</v>
      </c>
      <c r="D35" s="31">
        <f>IF(C35&gt;890000,890000,C35)</f>
        <v>0</v>
      </c>
      <c r="E35" s="2" t="s">
        <v>63</v>
      </c>
    </row>
    <row r="36" spans="1:10">
      <c r="A36" s="95" t="s">
        <v>61</v>
      </c>
      <c r="B36" s="96"/>
      <c r="C36" s="17">
        <f>ROUNDDOWN(SUM(G33,H33,I33,J25),-2)</f>
        <v>0</v>
      </c>
      <c r="D36" s="31">
        <f>IF(C36&gt;170000,170000,C36)</f>
        <v>0</v>
      </c>
      <c r="E36" s="2" t="s">
        <v>63</v>
      </c>
    </row>
    <row r="37" spans="1:10">
      <c r="A37" s="95" t="s">
        <v>62</v>
      </c>
      <c r="B37" s="96"/>
      <c r="C37" s="17">
        <f>SUM(C35:C36)</f>
        <v>0</v>
      </c>
      <c r="D37" s="31">
        <f>SUM(D35:D36)</f>
        <v>0</v>
      </c>
    </row>
    <row r="39" spans="1:10">
      <c r="A39" s="95" t="s">
        <v>64</v>
      </c>
      <c r="B39" s="96"/>
      <c r="C39" s="17" t="e">
        <f>ROUNDDOWN(D37/C22,-2)</f>
        <v>#DIV/0!</v>
      </c>
    </row>
  </sheetData>
  <mergeCells count="66">
    <mergeCell ref="A9:B9"/>
    <mergeCell ref="A10:B10"/>
    <mergeCell ref="A2:B3"/>
    <mergeCell ref="C2:D3"/>
    <mergeCell ref="E2:E3"/>
    <mergeCell ref="C5:D5"/>
    <mergeCell ref="C8:D8"/>
    <mergeCell ref="A4:B4"/>
    <mergeCell ref="A5:B5"/>
    <mergeCell ref="A6:B6"/>
    <mergeCell ref="A7:B7"/>
    <mergeCell ref="A8:B8"/>
    <mergeCell ref="C7:D7"/>
    <mergeCell ref="H5:I5"/>
    <mergeCell ref="K5:L5"/>
    <mergeCell ref="C6:D6"/>
    <mergeCell ref="H6:I6"/>
    <mergeCell ref="K6:L6"/>
    <mergeCell ref="A39:B39"/>
    <mergeCell ref="R2:R3"/>
    <mergeCell ref="C15:D15"/>
    <mergeCell ref="F25:F33"/>
    <mergeCell ref="A33:B33"/>
    <mergeCell ref="C23:F23"/>
    <mergeCell ref="G23:J23"/>
    <mergeCell ref="J25:J33"/>
    <mergeCell ref="A28:B28"/>
    <mergeCell ref="A29:B29"/>
    <mergeCell ref="A30:B30"/>
    <mergeCell ref="A31:B31"/>
    <mergeCell ref="A32:B32"/>
    <mergeCell ref="P2:P3"/>
    <mergeCell ref="O2:O3"/>
    <mergeCell ref="Q2:Q3"/>
    <mergeCell ref="A37:B37"/>
    <mergeCell ref="S2:S3"/>
    <mergeCell ref="A25:B25"/>
    <mergeCell ref="A26:B26"/>
    <mergeCell ref="A27:B27"/>
    <mergeCell ref="A11:B11"/>
    <mergeCell ref="C11:D11"/>
    <mergeCell ref="H11:I11"/>
    <mergeCell ref="K11:L11"/>
    <mergeCell ref="H2:I3"/>
    <mergeCell ref="N2:N3"/>
    <mergeCell ref="H8:I8"/>
    <mergeCell ref="K8:L8"/>
    <mergeCell ref="C9:D9"/>
    <mergeCell ref="H9:I9"/>
    <mergeCell ref="K9:L9"/>
    <mergeCell ref="U2:U3"/>
    <mergeCell ref="T2:T3"/>
    <mergeCell ref="V2:V3"/>
    <mergeCell ref="A35:B35"/>
    <mergeCell ref="A36:B36"/>
    <mergeCell ref="C10:D10"/>
    <mergeCell ref="H10:I10"/>
    <mergeCell ref="K10:L10"/>
    <mergeCell ref="H7:I7"/>
    <mergeCell ref="K7:L7"/>
    <mergeCell ref="J2:J3"/>
    <mergeCell ref="K2:L3"/>
    <mergeCell ref="C4:D4"/>
    <mergeCell ref="H4:I4"/>
    <mergeCell ref="K4:L4"/>
    <mergeCell ref="F2:G3"/>
  </mergeCells>
  <phoneticPr fontId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試算表</vt:lpstr>
      <vt:lpstr>所得計算</vt:lpstr>
      <vt:lpstr>試算表 (例)</vt:lpstr>
      <vt:lpstr>所得計算 (例)</vt:lpstr>
      <vt:lpstr>税額計算用</vt:lpstr>
      <vt:lpstr>試算表!Print_Area</vt:lpstr>
      <vt:lpstr>'試算表 (例)'!Print_Area</vt:lpstr>
      <vt:lpstr>所得計算!Print_Area</vt:lpstr>
      <vt:lpstr>'所得計算 (例)'!Print_Area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